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da\OneDrive - Asian Answers\Documentos\01.- UNIDAD DE CONTROL\informe core - junio 2021\ANEXOS\"/>
    </mc:Choice>
  </mc:AlternateContent>
  <xr:revisionPtr revIDLastSave="0" documentId="8_{972F7039-87A4-42D9-AC31-91EEC889DBBF}" xr6:coauthVersionLast="45" xr6:coauthVersionMax="45" xr10:uidLastSave="{00000000-0000-0000-0000-000000000000}"/>
  <bookViews>
    <workbookView xWindow="-120" yWindow="-120" windowWidth="20730" windowHeight="11160" xr2:uid="{0EB4037D-47D4-435E-9619-8E0803FB5AF5}"/>
  </bookViews>
  <sheets>
    <sheet name="MAULE 02" sheetId="1" r:id="rId1"/>
  </sheets>
  <externalReferences>
    <externalReference r:id="rId2"/>
  </externalReferences>
  <definedNames>
    <definedName name="_xlnm._FilterDatabase" localSheetId="0" hidden="1">'MAULE 02'!$A$31:$AF$207</definedName>
    <definedName name="_xlnm.Print_Area" localSheetId="0">'MAULE 02'!$A$7:$I$202</definedName>
    <definedName name="CONSULTA_EXPORTACION" localSheetId="0">#REF!</definedName>
    <definedName name="CONSULTA_EXPORTACION">#REF!</definedName>
    <definedName name="llll" localSheetId="0">#REF!</definedName>
    <definedName name="llll">#REF!</definedName>
    <definedName name="_xlnm.Print_Titles" localSheetId="0">'MAULE 02'!$7:$11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06" i="1" l="1"/>
  <c r="AV205" i="1"/>
  <c r="AH205" i="1"/>
  <c r="AF205" i="1"/>
  <c r="AE205" i="1"/>
  <c r="AV204" i="1"/>
  <c r="AU204" i="1"/>
  <c r="AS204" i="1"/>
  <c r="AR204" i="1"/>
  <c r="AQ204" i="1"/>
  <c r="AP204" i="1"/>
  <c r="AO204" i="1"/>
  <c r="AN204" i="1"/>
  <c r="AM204" i="1"/>
  <c r="AL204" i="1"/>
  <c r="AK204" i="1"/>
  <c r="AJ204" i="1"/>
  <c r="AH204" i="1"/>
  <c r="AF204" i="1"/>
  <c r="AW205" i="1" s="1"/>
  <c r="AE204" i="1"/>
  <c r="AV203" i="1"/>
  <c r="AD203" i="1"/>
  <c r="AC203" i="1"/>
  <c r="AB203" i="1"/>
  <c r="AA203" i="1"/>
  <c r="Z203" i="1"/>
  <c r="Y203" i="1"/>
  <c r="X203" i="1"/>
  <c r="W203" i="1"/>
  <c r="AE203" i="1" s="1"/>
  <c r="V203" i="1"/>
  <c r="AH203" i="1" s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AH202" i="1"/>
  <c r="AF202" i="1"/>
  <c r="AE202" i="1"/>
  <c r="AH201" i="1"/>
  <c r="AF201" i="1"/>
  <c r="AE201" i="1"/>
  <c r="AH200" i="1"/>
  <c r="AF200" i="1"/>
  <c r="AE200" i="1"/>
  <c r="AH199" i="1"/>
  <c r="AF199" i="1"/>
  <c r="AE199" i="1"/>
  <c r="AH198" i="1"/>
  <c r="AF198" i="1"/>
  <c r="AE198" i="1"/>
  <c r="AH197" i="1"/>
  <c r="AF197" i="1"/>
  <c r="AE197" i="1"/>
  <c r="AH196" i="1"/>
  <c r="AF196" i="1"/>
  <c r="AE196" i="1"/>
  <c r="AH195" i="1"/>
  <c r="AF195" i="1"/>
  <c r="AE195" i="1"/>
  <c r="AH194" i="1"/>
  <c r="AF194" i="1"/>
  <c r="AE194" i="1"/>
  <c r="AH193" i="1"/>
  <c r="AF193" i="1"/>
  <c r="AE193" i="1"/>
  <c r="AH192" i="1"/>
  <c r="AF192" i="1"/>
  <c r="AE192" i="1"/>
  <c r="AV191" i="1"/>
  <c r="AH191" i="1"/>
  <c r="AF191" i="1"/>
  <c r="AE191" i="1"/>
  <c r="AV190" i="1"/>
  <c r="AH190" i="1"/>
  <c r="AF190" i="1"/>
  <c r="AW191" i="1" s="1"/>
  <c r="AE190" i="1"/>
  <c r="AV189" i="1"/>
  <c r="AH189" i="1"/>
  <c r="AF189" i="1"/>
  <c r="AW190" i="1" s="1"/>
  <c r="AE189" i="1"/>
  <c r="AV188" i="1"/>
  <c r="AH188" i="1"/>
  <c r="AF188" i="1"/>
  <c r="AW189" i="1" s="1"/>
  <c r="AE188" i="1"/>
  <c r="AV187" i="1"/>
  <c r="AH187" i="1"/>
  <c r="AF187" i="1"/>
  <c r="AW188" i="1" s="1"/>
  <c r="AE187" i="1"/>
  <c r="AW186" i="1"/>
  <c r="AV186" i="1"/>
  <c r="AU186" i="1"/>
  <c r="AH186" i="1"/>
  <c r="AF186" i="1"/>
  <c r="AW187" i="1" s="1"/>
  <c r="AE186" i="1"/>
  <c r="AV185" i="1"/>
  <c r="AH185" i="1"/>
  <c r="AF185" i="1"/>
  <c r="AE185" i="1"/>
  <c r="AV184" i="1"/>
  <c r="AH184" i="1"/>
  <c r="N184" i="1"/>
  <c r="AV183" i="1"/>
  <c r="AH183" i="1"/>
  <c r="AF183" i="1"/>
  <c r="AW184" i="1" s="1"/>
  <c r="AE183" i="1"/>
  <c r="AH182" i="1"/>
  <c r="AF182" i="1"/>
  <c r="AW183" i="1" s="1"/>
  <c r="AE182" i="1"/>
  <c r="AH181" i="1"/>
  <c r="AF181" i="1"/>
  <c r="AE181" i="1"/>
  <c r="AH180" i="1"/>
  <c r="AF180" i="1"/>
  <c r="AE180" i="1"/>
  <c r="AV179" i="1"/>
  <c r="AW179" i="1" s="1"/>
  <c r="AU179" i="1"/>
  <c r="AH179" i="1"/>
  <c r="AF179" i="1"/>
  <c r="AE179" i="1"/>
  <c r="AU178" i="1"/>
  <c r="AV178" i="1" s="1"/>
  <c r="AW178" i="1" s="1"/>
  <c r="AH178" i="1"/>
  <c r="AF178" i="1"/>
  <c r="AE178" i="1"/>
  <c r="AV177" i="1"/>
  <c r="AH177" i="1"/>
  <c r="AF177" i="1"/>
  <c r="AE177" i="1"/>
  <c r="AW176" i="1"/>
  <c r="AV176" i="1"/>
  <c r="AH176" i="1"/>
  <c r="AF176" i="1"/>
  <c r="AW177" i="1" s="1"/>
  <c r="AE176" i="1"/>
  <c r="AU175" i="1"/>
  <c r="AV175" i="1" s="1"/>
  <c r="AH175" i="1"/>
  <c r="AF175" i="1"/>
  <c r="AE175" i="1"/>
  <c r="AV174" i="1"/>
  <c r="AU174" i="1"/>
  <c r="AH174" i="1"/>
  <c r="AF174" i="1"/>
  <c r="AW175" i="1" s="1"/>
  <c r="AE174" i="1"/>
  <c r="AU173" i="1"/>
  <c r="AV173" i="1" s="1"/>
  <c r="AW173" i="1" s="1"/>
  <c r="AH173" i="1"/>
  <c r="AF173" i="1"/>
  <c r="AW174" i="1" s="1"/>
  <c r="AE173" i="1"/>
  <c r="AV172" i="1"/>
  <c r="AH172" i="1"/>
  <c r="AF172" i="1"/>
  <c r="AE172" i="1"/>
  <c r="AW171" i="1"/>
  <c r="AV171" i="1"/>
  <c r="AU171" i="1"/>
  <c r="AH171" i="1"/>
  <c r="AF171" i="1"/>
  <c r="AW172" i="1" s="1"/>
  <c r="AE171" i="1"/>
  <c r="AV170" i="1"/>
  <c r="AH170" i="1"/>
  <c r="AF170" i="1"/>
  <c r="AE170" i="1"/>
  <c r="AV169" i="1"/>
  <c r="AU169" i="1"/>
  <c r="AH169" i="1"/>
  <c r="AF169" i="1"/>
  <c r="AW170" i="1" s="1"/>
  <c r="AE169" i="1"/>
  <c r="AV168" i="1"/>
  <c r="AH168" i="1"/>
  <c r="AF168" i="1"/>
  <c r="AE168" i="1"/>
  <c r="AV167" i="1"/>
  <c r="AH167" i="1"/>
  <c r="AF167" i="1"/>
  <c r="AW168" i="1" s="1"/>
  <c r="AE167" i="1"/>
  <c r="AV166" i="1"/>
  <c r="AW166" i="1" s="1"/>
  <c r="AH166" i="1"/>
  <c r="AF166" i="1"/>
  <c r="AW167" i="1" s="1"/>
  <c r="AE166" i="1"/>
  <c r="AU165" i="1"/>
  <c r="AV165" i="1" s="1"/>
  <c r="AH165" i="1"/>
  <c r="AX165" i="1" s="1"/>
  <c r="AF165" i="1"/>
  <c r="AE165" i="1"/>
  <c r="AV164" i="1"/>
  <c r="AR164" i="1"/>
  <c r="AH164" i="1"/>
  <c r="AF164" i="1"/>
  <c r="AW165" i="1" s="1"/>
  <c r="AE164" i="1"/>
  <c r="AV163" i="1"/>
  <c r="AH163" i="1"/>
  <c r="AF163" i="1"/>
  <c r="AW164" i="1" s="1"/>
  <c r="AE163" i="1"/>
  <c r="AV162" i="1"/>
  <c r="AH162" i="1"/>
  <c r="AF162" i="1"/>
  <c r="AE162" i="1"/>
  <c r="AV161" i="1"/>
  <c r="AH161" i="1"/>
  <c r="AF161" i="1"/>
  <c r="AW162" i="1" s="1"/>
  <c r="AE161" i="1"/>
  <c r="AW160" i="1"/>
  <c r="AV160" i="1"/>
  <c r="AH160" i="1"/>
  <c r="AF160" i="1"/>
  <c r="AW161" i="1" s="1"/>
  <c r="AE160" i="1"/>
  <c r="AU159" i="1"/>
  <c r="AV159" i="1" s="1"/>
  <c r="AH159" i="1"/>
  <c r="AF159" i="1"/>
  <c r="AE159" i="1"/>
  <c r="AV158" i="1"/>
  <c r="AU158" i="1"/>
  <c r="AH158" i="1"/>
  <c r="AF158" i="1"/>
  <c r="AW159" i="1" s="1"/>
  <c r="AE158" i="1"/>
  <c r="AV157" i="1"/>
  <c r="AH157" i="1"/>
  <c r="AF157" i="1"/>
  <c r="AW158" i="1" s="1"/>
  <c r="AE157" i="1"/>
  <c r="AM156" i="1"/>
  <c r="AV156" i="1" s="1"/>
  <c r="AH156" i="1"/>
  <c r="AF156" i="1"/>
  <c r="AW157" i="1" s="1"/>
  <c r="AE156" i="1"/>
  <c r="AW155" i="1"/>
  <c r="AV155" i="1"/>
  <c r="AM155" i="1"/>
  <c r="AH155" i="1"/>
  <c r="AF155" i="1"/>
  <c r="AW156" i="1" s="1"/>
  <c r="AE155" i="1"/>
  <c r="AW154" i="1"/>
  <c r="AV154" i="1"/>
  <c r="AH154" i="1"/>
  <c r="AF154" i="1"/>
  <c r="AE154" i="1"/>
  <c r="AV153" i="1"/>
  <c r="AH153" i="1"/>
  <c r="AF153" i="1"/>
  <c r="AE153" i="1"/>
  <c r="AW152" i="1"/>
  <c r="AV152" i="1"/>
  <c r="AM152" i="1"/>
  <c r="AH152" i="1"/>
  <c r="AF152" i="1"/>
  <c r="AW153" i="1" s="1"/>
  <c r="AE152" i="1"/>
  <c r="AV151" i="1"/>
  <c r="AH151" i="1"/>
  <c r="AF151" i="1"/>
  <c r="AE151" i="1"/>
  <c r="AV150" i="1"/>
  <c r="AH150" i="1"/>
  <c r="AF150" i="1"/>
  <c r="AW151" i="1" s="1"/>
  <c r="AE150" i="1"/>
  <c r="AW149" i="1"/>
  <c r="AV149" i="1"/>
  <c r="AH149" i="1"/>
  <c r="AF149" i="1"/>
  <c r="AE149" i="1"/>
  <c r="AV148" i="1"/>
  <c r="AU148" i="1"/>
  <c r="AH148" i="1"/>
  <c r="AF148" i="1"/>
  <c r="AE148" i="1"/>
  <c r="AV147" i="1"/>
  <c r="AH147" i="1"/>
  <c r="AF147" i="1"/>
  <c r="AW148" i="1" s="1"/>
  <c r="AE147" i="1"/>
  <c r="AW146" i="1"/>
  <c r="AV146" i="1"/>
  <c r="AH146" i="1"/>
  <c r="AF146" i="1"/>
  <c r="AW147" i="1" s="1"/>
  <c r="AE146" i="1"/>
  <c r="AV145" i="1"/>
  <c r="AW145" i="1" s="1"/>
  <c r="AU145" i="1"/>
  <c r="AH145" i="1"/>
  <c r="AF145" i="1"/>
  <c r="AE145" i="1"/>
  <c r="AV144" i="1"/>
  <c r="AW144" i="1" s="1"/>
  <c r="AU144" i="1"/>
  <c r="AH144" i="1"/>
  <c r="AF144" i="1"/>
  <c r="AE144" i="1"/>
  <c r="AU143" i="1"/>
  <c r="AV143" i="1" s="1"/>
  <c r="AH143" i="1"/>
  <c r="AF143" i="1"/>
  <c r="AE143" i="1"/>
  <c r="AV142" i="1"/>
  <c r="AU142" i="1"/>
  <c r="AH142" i="1"/>
  <c r="AF142" i="1"/>
  <c r="AW143" i="1" s="1"/>
  <c r="AE142" i="1"/>
  <c r="AV141" i="1"/>
  <c r="AH141" i="1"/>
  <c r="AF141" i="1"/>
  <c r="AW142" i="1" s="1"/>
  <c r="AE141" i="1"/>
  <c r="AU140" i="1"/>
  <c r="AV140" i="1" s="1"/>
  <c r="AH140" i="1"/>
  <c r="AF140" i="1"/>
  <c r="AW141" i="1" s="1"/>
  <c r="AE140" i="1"/>
  <c r="AV139" i="1"/>
  <c r="AH139" i="1"/>
  <c r="AF139" i="1"/>
  <c r="AW140" i="1" s="1"/>
  <c r="AE139" i="1"/>
  <c r="AV138" i="1"/>
  <c r="AH138" i="1"/>
  <c r="AF138" i="1"/>
  <c r="AW139" i="1" s="1"/>
  <c r="AE138" i="1"/>
  <c r="AV137" i="1"/>
  <c r="AH137" i="1"/>
  <c r="AF137" i="1"/>
  <c r="AW138" i="1" s="1"/>
  <c r="AE137" i="1"/>
  <c r="AV136" i="1"/>
  <c r="AH136" i="1"/>
  <c r="AF136" i="1"/>
  <c r="AW137" i="1" s="1"/>
  <c r="AE136" i="1"/>
  <c r="AW135" i="1"/>
  <c r="AV135" i="1"/>
  <c r="AH135" i="1"/>
  <c r="AF135" i="1"/>
  <c r="AW136" i="1" s="1"/>
  <c r="AE135" i="1"/>
  <c r="AU134" i="1"/>
  <c r="AV134" i="1" s="1"/>
  <c r="AW134" i="1" s="1"/>
  <c r="AH134" i="1"/>
  <c r="AF134" i="1"/>
  <c r="AE134" i="1"/>
  <c r="AV133" i="1"/>
  <c r="AH133" i="1"/>
  <c r="AF133" i="1"/>
  <c r="AE133" i="1"/>
  <c r="AV132" i="1"/>
  <c r="AH132" i="1"/>
  <c r="AF132" i="1"/>
  <c r="AW133" i="1" s="1"/>
  <c r="AE132" i="1"/>
  <c r="AV131" i="1"/>
  <c r="AH131" i="1"/>
  <c r="AF131" i="1"/>
  <c r="AW132" i="1" s="1"/>
  <c r="AE131" i="1"/>
  <c r="AW130" i="1"/>
  <c r="AV130" i="1"/>
  <c r="AH130" i="1"/>
  <c r="AF130" i="1"/>
  <c r="AW131" i="1" s="1"/>
  <c r="AE130" i="1"/>
  <c r="AV129" i="1"/>
  <c r="AH129" i="1"/>
  <c r="AF129" i="1"/>
  <c r="AE129" i="1"/>
  <c r="AW128" i="1"/>
  <c r="AV128" i="1"/>
  <c r="AU128" i="1"/>
  <c r="AH128" i="1"/>
  <c r="AF128" i="1"/>
  <c r="AW129" i="1" s="1"/>
  <c r="AE128" i="1"/>
  <c r="AV127" i="1"/>
  <c r="AH127" i="1"/>
  <c r="AF127" i="1"/>
  <c r="AE127" i="1"/>
  <c r="AV126" i="1"/>
  <c r="AH126" i="1"/>
  <c r="AF126" i="1"/>
  <c r="AW127" i="1" s="1"/>
  <c r="AE126" i="1"/>
  <c r="AV125" i="1"/>
  <c r="AH125" i="1"/>
  <c r="AF125" i="1"/>
  <c r="AW126" i="1" s="1"/>
  <c r="AE125" i="1"/>
  <c r="AV124" i="1"/>
  <c r="AH124" i="1"/>
  <c r="AF124" i="1"/>
  <c r="AW125" i="1" s="1"/>
  <c r="AE124" i="1"/>
  <c r="AM123" i="1"/>
  <c r="AV123" i="1" s="1"/>
  <c r="AH123" i="1"/>
  <c r="AF123" i="1"/>
  <c r="AW124" i="1" s="1"/>
  <c r="AE123" i="1"/>
  <c r="AV122" i="1"/>
  <c r="AH122" i="1"/>
  <c r="AF122" i="1"/>
  <c r="AE122" i="1"/>
  <c r="AV121" i="1"/>
  <c r="AH121" i="1"/>
  <c r="AF121" i="1"/>
  <c r="AW122" i="1" s="1"/>
  <c r="AE121" i="1"/>
  <c r="AV120" i="1"/>
  <c r="AH120" i="1"/>
  <c r="AF120" i="1"/>
  <c r="AE120" i="1"/>
  <c r="AV119" i="1"/>
  <c r="AH119" i="1"/>
  <c r="AF119" i="1"/>
  <c r="AW120" i="1" s="1"/>
  <c r="AE119" i="1"/>
  <c r="AW118" i="1"/>
  <c r="AV118" i="1"/>
  <c r="AH118" i="1"/>
  <c r="AF118" i="1"/>
  <c r="AW119" i="1" s="1"/>
  <c r="AE118" i="1"/>
  <c r="AV117" i="1"/>
  <c r="AH117" i="1"/>
  <c r="AF117" i="1"/>
  <c r="AE117" i="1"/>
  <c r="AW116" i="1"/>
  <c r="AV116" i="1"/>
  <c r="AH116" i="1"/>
  <c r="AF116" i="1"/>
  <c r="AW117" i="1" s="1"/>
  <c r="AE116" i="1"/>
  <c r="AV115" i="1"/>
  <c r="AP115" i="1"/>
  <c r="AH115" i="1"/>
  <c r="AF115" i="1"/>
  <c r="AE115" i="1"/>
  <c r="AW114" i="1"/>
  <c r="AV114" i="1"/>
  <c r="AH114" i="1"/>
  <c r="AF114" i="1"/>
  <c r="AW115" i="1" s="1"/>
  <c r="AE114" i="1"/>
  <c r="AW113" i="1"/>
  <c r="AU113" i="1"/>
  <c r="AV113" i="1" s="1"/>
  <c r="AH113" i="1"/>
  <c r="AF113" i="1"/>
  <c r="AE113" i="1"/>
  <c r="AV112" i="1"/>
  <c r="AH112" i="1"/>
  <c r="AF112" i="1"/>
  <c r="AE112" i="1"/>
  <c r="AV111" i="1"/>
  <c r="AH111" i="1"/>
  <c r="AF111" i="1"/>
  <c r="AW112" i="1" s="1"/>
  <c r="AE111" i="1"/>
  <c r="AW110" i="1"/>
  <c r="AV110" i="1"/>
  <c r="AH110" i="1"/>
  <c r="AF110" i="1"/>
  <c r="AW111" i="1" s="1"/>
  <c r="AE110" i="1"/>
  <c r="AV109" i="1"/>
  <c r="AH109" i="1"/>
  <c r="AF109" i="1"/>
  <c r="AE109" i="1"/>
  <c r="AV108" i="1"/>
  <c r="AH108" i="1"/>
  <c r="AF108" i="1"/>
  <c r="AW109" i="1" s="1"/>
  <c r="AE108" i="1"/>
  <c r="AV107" i="1"/>
  <c r="AH107" i="1"/>
  <c r="AF107" i="1"/>
  <c r="AW108" i="1" s="1"/>
  <c r="AE107" i="1"/>
  <c r="AV106" i="1"/>
  <c r="AH106" i="1"/>
  <c r="AF106" i="1"/>
  <c r="AW107" i="1" s="1"/>
  <c r="AE106" i="1"/>
  <c r="AV105" i="1"/>
  <c r="AH105" i="1"/>
  <c r="AF105" i="1"/>
  <c r="AW106" i="1" s="1"/>
  <c r="AE105" i="1"/>
  <c r="AV104" i="1"/>
  <c r="AH104" i="1"/>
  <c r="AF104" i="1"/>
  <c r="AW105" i="1" s="1"/>
  <c r="AE104" i="1"/>
  <c r="AU103" i="1"/>
  <c r="AV103" i="1" s="1"/>
  <c r="AW103" i="1" s="1"/>
  <c r="AH103" i="1"/>
  <c r="AF103" i="1"/>
  <c r="AW104" i="1" s="1"/>
  <c r="AE103" i="1"/>
  <c r="AV102" i="1"/>
  <c r="AH102" i="1"/>
  <c r="AF102" i="1"/>
  <c r="AE102" i="1"/>
  <c r="AW101" i="1"/>
  <c r="AV101" i="1"/>
  <c r="AH101" i="1"/>
  <c r="AF101" i="1"/>
  <c r="AW102" i="1" s="1"/>
  <c r="AE101" i="1"/>
  <c r="AU100" i="1"/>
  <c r="AV100" i="1" s="1"/>
  <c r="AV98" i="1" s="1"/>
  <c r="AH100" i="1"/>
  <c r="AF100" i="1"/>
  <c r="AE100" i="1"/>
  <c r="AV99" i="1"/>
  <c r="AM99" i="1"/>
  <c r="AM98" i="1" s="1"/>
  <c r="AH99" i="1"/>
  <c r="AF99" i="1"/>
  <c r="AE99" i="1"/>
  <c r="AT98" i="1"/>
  <c r="AS98" i="1"/>
  <c r="AR98" i="1"/>
  <c r="AQ98" i="1"/>
  <c r="AP98" i="1"/>
  <c r="AP61" i="1" s="1"/>
  <c r="AO98" i="1"/>
  <c r="AN98" i="1"/>
  <c r="AL98" i="1"/>
  <c r="AK98" i="1"/>
  <c r="AJ98" i="1"/>
  <c r="AH98" i="1"/>
  <c r="AF98" i="1"/>
  <c r="AW99" i="1" s="1"/>
  <c r="AE98" i="1"/>
  <c r="AH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M97" i="1"/>
  <c r="L97" i="1"/>
  <c r="K97" i="1"/>
  <c r="J97" i="1"/>
  <c r="I97" i="1"/>
  <c r="H97" i="1"/>
  <c r="G97" i="1"/>
  <c r="F97" i="1"/>
  <c r="E97" i="1"/>
  <c r="AV96" i="1"/>
  <c r="AH96" i="1"/>
  <c r="AF96" i="1"/>
  <c r="AE96" i="1"/>
  <c r="AV95" i="1"/>
  <c r="AH95" i="1"/>
  <c r="AF95" i="1"/>
  <c r="AW96" i="1" s="1"/>
  <c r="AE95" i="1"/>
  <c r="AV94" i="1"/>
  <c r="AV93" i="1" s="1"/>
  <c r="AH94" i="1"/>
  <c r="AF94" i="1"/>
  <c r="AW95" i="1" s="1"/>
  <c r="AE94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H93" i="1"/>
  <c r="AF93" i="1"/>
  <c r="AE93" i="1"/>
  <c r="AV92" i="1"/>
  <c r="AH92" i="1"/>
  <c r="AD92" i="1"/>
  <c r="AC92" i="1"/>
  <c r="AB92" i="1"/>
  <c r="AA92" i="1"/>
  <c r="Z92" i="1"/>
  <c r="Z60" i="1" s="1"/>
  <c r="Y92" i="1"/>
  <c r="Y60" i="1" s="1"/>
  <c r="X92" i="1"/>
  <c r="W92" i="1"/>
  <c r="V92" i="1"/>
  <c r="U92" i="1"/>
  <c r="T92" i="1"/>
  <c r="S92" i="1"/>
  <c r="R92" i="1"/>
  <c r="R60" i="1" s="1"/>
  <c r="Q92" i="1"/>
  <c r="Q60" i="1" s="1"/>
  <c r="P92" i="1"/>
  <c r="O92" i="1"/>
  <c r="N92" i="1"/>
  <c r="M92" i="1"/>
  <c r="L92" i="1"/>
  <c r="K92" i="1"/>
  <c r="J92" i="1"/>
  <c r="J60" i="1" s="1"/>
  <c r="I92" i="1"/>
  <c r="I60" i="1" s="1"/>
  <c r="H92" i="1"/>
  <c r="AF92" i="1" s="1"/>
  <c r="AW93" i="1" s="1"/>
  <c r="G92" i="1"/>
  <c r="F92" i="1"/>
  <c r="E92" i="1"/>
  <c r="AV91" i="1"/>
  <c r="AH91" i="1"/>
  <c r="AF91" i="1"/>
  <c r="AW92" i="1" s="1"/>
  <c r="AE91" i="1"/>
  <c r="AV90" i="1"/>
  <c r="AH90" i="1"/>
  <c r="AF90" i="1"/>
  <c r="AW91" i="1" s="1"/>
  <c r="AE90" i="1"/>
  <c r="AW89" i="1"/>
  <c r="AV89" i="1"/>
  <c r="AH89" i="1"/>
  <c r="AF89" i="1"/>
  <c r="AW90" i="1" s="1"/>
  <c r="AE89" i="1"/>
  <c r="AV88" i="1"/>
  <c r="AH88" i="1"/>
  <c r="AF88" i="1"/>
  <c r="AE88" i="1"/>
  <c r="AV87" i="1"/>
  <c r="AH87" i="1"/>
  <c r="AF87" i="1"/>
  <c r="AW88" i="1" s="1"/>
  <c r="AE87" i="1"/>
  <c r="AV86" i="1"/>
  <c r="AH86" i="1"/>
  <c r="AF86" i="1"/>
  <c r="AW87" i="1" s="1"/>
  <c r="AE86" i="1"/>
  <c r="AV85" i="1"/>
  <c r="AH85" i="1"/>
  <c r="AF85" i="1"/>
  <c r="AW86" i="1" s="1"/>
  <c r="AE85" i="1"/>
  <c r="AV84" i="1"/>
  <c r="AH84" i="1"/>
  <c r="AF84" i="1"/>
  <c r="AW85" i="1" s="1"/>
  <c r="AE84" i="1"/>
  <c r="AV83" i="1"/>
  <c r="AH83" i="1"/>
  <c r="AF83" i="1"/>
  <c r="AW84" i="1" s="1"/>
  <c r="AE83" i="1"/>
  <c r="AV82" i="1"/>
  <c r="AH82" i="1"/>
  <c r="AF82" i="1"/>
  <c r="AW83" i="1" s="1"/>
  <c r="AE82" i="1"/>
  <c r="AV81" i="1"/>
  <c r="AH81" i="1"/>
  <c r="AF81" i="1"/>
  <c r="AW82" i="1" s="1"/>
  <c r="AE81" i="1"/>
  <c r="AV80" i="1"/>
  <c r="AH80" i="1"/>
  <c r="AF80" i="1"/>
  <c r="AW81" i="1" s="1"/>
  <c r="AE80" i="1"/>
  <c r="AV79" i="1"/>
  <c r="AH79" i="1"/>
  <c r="AF79" i="1"/>
  <c r="AW80" i="1" s="1"/>
  <c r="AE79" i="1"/>
  <c r="AV78" i="1"/>
  <c r="AH78" i="1"/>
  <c r="AF78" i="1"/>
  <c r="AW79" i="1" s="1"/>
  <c r="AE78" i="1"/>
  <c r="AV77" i="1"/>
  <c r="AH77" i="1"/>
  <c r="AF77" i="1"/>
  <c r="AE77" i="1"/>
  <c r="AV76" i="1"/>
  <c r="AH76" i="1"/>
  <c r="AF76" i="1"/>
  <c r="AW77" i="1" s="1"/>
  <c r="AE76" i="1"/>
  <c r="AV75" i="1"/>
  <c r="AH75" i="1"/>
  <c r="AF75" i="1"/>
  <c r="AW76" i="1" s="1"/>
  <c r="AE75" i="1"/>
  <c r="AV74" i="1"/>
  <c r="AH74" i="1"/>
  <c r="AF74" i="1"/>
  <c r="AW75" i="1" s="1"/>
  <c r="AE74" i="1"/>
  <c r="AV73" i="1"/>
  <c r="AH73" i="1"/>
  <c r="AF73" i="1"/>
  <c r="AW74" i="1" s="1"/>
  <c r="AE73" i="1"/>
  <c r="AV72" i="1"/>
  <c r="AH72" i="1"/>
  <c r="AF72" i="1"/>
  <c r="AW73" i="1" s="1"/>
  <c r="AE72" i="1"/>
  <c r="AW71" i="1"/>
  <c r="AV71" i="1"/>
  <c r="AH71" i="1"/>
  <c r="AF71" i="1"/>
  <c r="AW72" i="1" s="1"/>
  <c r="AE71" i="1"/>
  <c r="AV70" i="1"/>
  <c r="AH70" i="1"/>
  <c r="AF70" i="1"/>
  <c r="AE70" i="1"/>
  <c r="AV69" i="1"/>
  <c r="AH69" i="1"/>
  <c r="AF69" i="1"/>
  <c r="AW70" i="1" s="1"/>
  <c r="AE69" i="1"/>
  <c r="AV68" i="1"/>
  <c r="AH68" i="1"/>
  <c r="AF68" i="1"/>
  <c r="AW69" i="1" s="1"/>
  <c r="AE68" i="1"/>
  <c r="AV67" i="1"/>
  <c r="AH67" i="1"/>
  <c r="AF67" i="1"/>
  <c r="AW68" i="1" s="1"/>
  <c r="AE67" i="1"/>
  <c r="AV66" i="1"/>
  <c r="AH66" i="1"/>
  <c r="AF66" i="1"/>
  <c r="AW67" i="1" s="1"/>
  <c r="AE66" i="1"/>
  <c r="AV65" i="1"/>
  <c r="AH65" i="1"/>
  <c r="AF65" i="1"/>
  <c r="AW66" i="1" s="1"/>
  <c r="AE65" i="1"/>
  <c r="AV64" i="1"/>
  <c r="AH64" i="1"/>
  <c r="AF64" i="1"/>
  <c r="AW65" i="1" s="1"/>
  <c r="AE64" i="1"/>
  <c r="AV63" i="1"/>
  <c r="AV62" i="1" s="1"/>
  <c r="AV61" i="1" s="1"/>
  <c r="AH63" i="1"/>
  <c r="AF63" i="1"/>
  <c r="AW64" i="1" s="1"/>
  <c r="AE63" i="1"/>
  <c r="AU62" i="1"/>
  <c r="AT62" i="1"/>
  <c r="AS62" i="1"/>
  <c r="AS61" i="1" s="1"/>
  <c r="AS24" i="1" s="1"/>
  <c r="AR62" i="1"/>
  <c r="AR61" i="1" s="1"/>
  <c r="AQ62" i="1"/>
  <c r="AQ61" i="1" s="1"/>
  <c r="AP62" i="1"/>
  <c r="AO62" i="1"/>
  <c r="AN62" i="1"/>
  <c r="AN61" i="1" s="1"/>
  <c r="AM62" i="1"/>
  <c r="AM61" i="1" s="1"/>
  <c r="AM24" i="1" s="1"/>
  <c r="AM23" i="1" s="1"/>
  <c r="AM22" i="1" s="1"/>
  <c r="AL62" i="1"/>
  <c r="AL61" i="1" s="1"/>
  <c r="AK62" i="1"/>
  <c r="AK61" i="1" s="1"/>
  <c r="AJ62" i="1"/>
  <c r="AJ61" i="1" s="1"/>
  <c r="AH62" i="1"/>
  <c r="AF62" i="1"/>
  <c r="AE62" i="1"/>
  <c r="AT61" i="1"/>
  <c r="AO61" i="1"/>
  <c r="AD61" i="1"/>
  <c r="AD60" i="1" s="1"/>
  <c r="AC61" i="1"/>
  <c r="AC60" i="1" s="1"/>
  <c r="AB61" i="1"/>
  <c r="AB60" i="1" s="1"/>
  <c r="AB31" i="1" s="1"/>
  <c r="AB207" i="1" s="1"/>
  <c r="AA61" i="1"/>
  <c r="Z61" i="1"/>
  <c r="Y61" i="1"/>
  <c r="X61" i="1"/>
  <c r="X60" i="1" s="1"/>
  <c r="W61" i="1"/>
  <c r="W60" i="1" s="1"/>
  <c r="V61" i="1"/>
  <c r="U61" i="1"/>
  <c r="T61" i="1"/>
  <c r="S61" i="1"/>
  <c r="R61" i="1"/>
  <c r="Q61" i="1"/>
  <c r="P61" i="1"/>
  <c r="P60" i="1" s="1"/>
  <c r="O61" i="1"/>
  <c r="O60" i="1" s="1"/>
  <c r="N61" i="1"/>
  <c r="M61" i="1"/>
  <c r="M60" i="1" s="1"/>
  <c r="M31" i="1" s="1"/>
  <c r="M207" i="1" s="1"/>
  <c r="L61" i="1"/>
  <c r="L60" i="1" s="1"/>
  <c r="K61" i="1"/>
  <c r="J61" i="1"/>
  <c r="I61" i="1"/>
  <c r="H61" i="1"/>
  <c r="H60" i="1" s="1"/>
  <c r="G61" i="1"/>
  <c r="G60" i="1" s="1"/>
  <c r="F61" i="1"/>
  <c r="E61" i="1"/>
  <c r="AF61" i="1" s="1"/>
  <c r="AW60" i="1"/>
  <c r="AV60" i="1"/>
  <c r="AV58" i="1" s="1"/>
  <c r="AA60" i="1"/>
  <c r="V60" i="1"/>
  <c r="U60" i="1"/>
  <c r="T60" i="1"/>
  <c r="S60" i="1"/>
  <c r="K60" i="1"/>
  <c r="F60" i="1"/>
  <c r="E60" i="1"/>
  <c r="AH59" i="1"/>
  <c r="AF59" i="1"/>
  <c r="AE59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H58" i="1"/>
  <c r="AF58" i="1"/>
  <c r="AE58" i="1"/>
  <c r="U58" i="1"/>
  <c r="AV57" i="1"/>
  <c r="AH57" i="1"/>
  <c r="AD57" i="1"/>
  <c r="AC57" i="1"/>
  <c r="AB57" i="1"/>
  <c r="AA57" i="1"/>
  <c r="Z57" i="1"/>
  <c r="Y57" i="1"/>
  <c r="X57" i="1"/>
  <c r="W57" i="1"/>
  <c r="AE57" i="1" s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AF57" i="1" s="1"/>
  <c r="AW58" i="1" s="1"/>
  <c r="F57" i="1"/>
  <c r="E57" i="1"/>
  <c r="AM56" i="1"/>
  <c r="AM54" i="1" s="1"/>
  <c r="AL56" i="1"/>
  <c r="AH56" i="1"/>
  <c r="AF56" i="1"/>
  <c r="AW57" i="1" s="1"/>
  <c r="AE56" i="1"/>
  <c r="AV55" i="1"/>
  <c r="AF55" i="1"/>
  <c r="AE55" i="1"/>
  <c r="V55" i="1"/>
  <c r="AH55" i="1" s="1"/>
  <c r="AU54" i="1"/>
  <c r="AT54" i="1"/>
  <c r="AS54" i="1"/>
  <c r="AR54" i="1"/>
  <c r="AQ54" i="1"/>
  <c r="AP54" i="1"/>
  <c r="AO54" i="1"/>
  <c r="AN54" i="1"/>
  <c r="AK54" i="1"/>
  <c r="AJ54" i="1"/>
  <c r="AH54" i="1"/>
  <c r="AF54" i="1"/>
  <c r="AW55" i="1" s="1"/>
  <c r="AE54" i="1"/>
  <c r="AV53" i="1"/>
  <c r="AD53" i="1"/>
  <c r="AC53" i="1"/>
  <c r="AB53" i="1"/>
  <c r="AA53" i="1"/>
  <c r="Z53" i="1"/>
  <c r="Y53" i="1"/>
  <c r="X53" i="1"/>
  <c r="W53" i="1"/>
  <c r="AE53" i="1" s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AU52" i="1"/>
  <c r="AT52" i="1"/>
  <c r="AS52" i="1"/>
  <c r="AS28" i="1" s="1"/>
  <c r="AR52" i="1"/>
  <c r="AQ52" i="1"/>
  <c r="AP52" i="1"/>
  <c r="AO52" i="1"/>
  <c r="AN52" i="1"/>
  <c r="AM52" i="1"/>
  <c r="AL52" i="1"/>
  <c r="AK52" i="1"/>
  <c r="AJ52" i="1"/>
  <c r="AV52" i="1" s="1"/>
  <c r="AH52" i="1"/>
  <c r="AF52" i="1"/>
  <c r="AW53" i="1" s="1"/>
  <c r="AE52" i="1"/>
  <c r="AW51" i="1"/>
  <c r="AV51" i="1"/>
  <c r="AD51" i="1"/>
  <c r="AC51" i="1"/>
  <c r="AB51" i="1"/>
  <c r="AA51" i="1"/>
  <c r="Z51" i="1"/>
  <c r="Y51" i="1"/>
  <c r="X51" i="1"/>
  <c r="W51" i="1"/>
  <c r="AE51" i="1" s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AW50" i="1"/>
  <c r="AV50" i="1"/>
  <c r="AH50" i="1"/>
  <c r="AF50" i="1"/>
  <c r="AE50" i="1"/>
  <c r="AV49" i="1"/>
  <c r="AV46" i="1" s="1"/>
  <c r="AU49" i="1"/>
  <c r="AU46" i="1" s="1"/>
  <c r="AH49" i="1"/>
  <c r="AF49" i="1"/>
  <c r="AE49" i="1"/>
  <c r="AU48" i="1"/>
  <c r="AV48" i="1" s="1"/>
  <c r="AH48" i="1"/>
  <c r="AF48" i="1"/>
  <c r="AW49" i="1" s="1"/>
  <c r="AE48" i="1"/>
  <c r="AV47" i="1"/>
  <c r="AH47" i="1"/>
  <c r="AF47" i="1"/>
  <c r="AW48" i="1" s="1"/>
  <c r="AE47" i="1"/>
  <c r="AT46" i="1"/>
  <c r="AS46" i="1"/>
  <c r="AR46" i="1"/>
  <c r="AQ46" i="1"/>
  <c r="AP46" i="1"/>
  <c r="AO46" i="1"/>
  <c r="AN46" i="1"/>
  <c r="AM46" i="1"/>
  <c r="AL46" i="1"/>
  <c r="AK46" i="1"/>
  <c r="AJ46" i="1"/>
  <c r="AH46" i="1"/>
  <c r="AF46" i="1"/>
  <c r="AW47" i="1" s="1"/>
  <c r="AE46" i="1"/>
  <c r="AV45" i="1"/>
  <c r="AW45" i="1" s="1"/>
  <c r="AD45" i="1"/>
  <c r="AC45" i="1"/>
  <c r="AB45" i="1"/>
  <c r="AA45" i="1"/>
  <c r="AH45" i="1" s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F45" i="1" s="1"/>
  <c r="AW46" i="1" s="1"/>
  <c r="AW44" i="1"/>
  <c r="AV44" i="1"/>
  <c r="AV43" i="1" s="1"/>
  <c r="AH44" i="1"/>
  <c r="AF44" i="1"/>
  <c r="AE44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H43" i="1"/>
  <c r="AF43" i="1"/>
  <c r="AE43" i="1"/>
  <c r="AV42" i="1"/>
  <c r="AV37" i="1" s="1"/>
  <c r="AH42" i="1"/>
  <c r="AD42" i="1"/>
  <c r="AC42" i="1"/>
  <c r="AB42" i="1"/>
  <c r="AA42" i="1"/>
  <c r="Z42" i="1"/>
  <c r="Y42" i="1"/>
  <c r="X42" i="1"/>
  <c r="W42" i="1"/>
  <c r="AE42" i="1" s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AF42" i="1" s="1"/>
  <c r="AW43" i="1" s="1"/>
  <c r="F42" i="1"/>
  <c r="E42" i="1"/>
  <c r="AH41" i="1"/>
  <c r="AF41" i="1"/>
  <c r="AE41" i="1"/>
  <c r="AH40" i="1"/>
  <c r="AF40" i="1"/>
  <c r="AE40" i="1"/>
  <c r="AH39" i="1"/>
  <c r="AF39" i="1"/>
  <c r="AE39" i="1"/>
  <c r="AH38" i="1"/>
  <c r="AF38" i="1"/>
  <c r="AE38" i="1"/>
  <c r="AU37" i="1"/>
  <c r="AT37" i="1"/>
  <c r="AT33" i="1" s="1"/>
  <c r="AS37" i="1"/>
  <c r="AR37" i="1"/>
  <c r="AQ37" i="1"/>
  <c r="AP37" i="1"/>
  <c r="AO37" i="1"/>
  <c r="AN37" i="1"/>
  <c r="AM37" i="1"/>
  <c r="AL37" i="1"/>
  <c r="AK37" i="1"/>
  <c r="AJ37" i="1"/>
  <c r="AD37" i="1"/>
  <c r="AC37" i="1"/>
  <c r="AB37" i="1"/>
  <c r="AA37" i="1"/>
  <c r="AH37" i="1" s="1"/>
  <c r="Z37" i="1"/>
  <c r="Y37" i="1"/>
  <c r="X37" i="1"/>
  <c r="W37" i="1"/>
  <c r="V37" i="1"/>
  <c r="U37" i="1"/>
  <c r="T37" i="1"/>
  <c r="T33" i="1" s="1"/>
  <c r="T31" i="1" s="1"/>
  <c r="T207" i="1" s="1"/>
  <c r="S37" i="1"/>
  <c r="S33" i="1" s="1"/>
  <c r="S31" i="1" s="1"/>
  <c r="S207" i="1" s="1"/>
  <c r="R37" i="1"/>
  <c r="R33" i="1" s="1"/>
  <c r="R31" i="1" s="1"/>
  <c r="R207" i="1" s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W36" i="1"/>
  <c r="AV36" i="1"/>
  <c r="AH36" i="1"/>
  <c r="AF36" i="1"/>
  <c r="AE36" i="1"/>
  <c r="AW35" i="1"/>
  <c r="AV35" i="1"/>
  <c r="AH35" i="1"/>
  <c r="AF35" i="1"/>
  <c r="AE35" i="1"/>
  <c r="AZ34" i="1"/>
  <c r="AV34" i="1"/>
  <c r="AV33" i="1" s="1"/>
  <c r="AU34" i="1"/>
  <c r="AU33" i="1" s="1"/>
  <c r="AT34" i="1"/>
  <c r="AS34" i="1"/>
  <c r="AR34" i="1"/>
  <c r="AQ34" i="1"/>
  <c r="AP34" i="1"/>
  <c r="AP33" i="1" s="1"/>
  <c r="AP31" i="1" s="1"/>
  <c r="AO34" i="1"/>
  <c r="AO33" i="1" s="1"/>
  <c r="AN34" i="1"/>
  <c r="AN33" i="1" s="1"/>
  <c r="AN15" i="1" s="1"/>
  <c r="AM34" i="1"/>
  <c r="AL34" i="1"/>
  <c r="AK34" i="1"/>
  <c r="AJ34" i="1"/>
  <c r="AE34" i="1"/>
  <c r="AD34" i="1"/>
  <c r="AD33" i="1" s="1"/>
  <c r="AD31" i="1" s="1"/>
  <c r="AD207" i="1" s="1"/>
  <c r="AC34" i="1"/>
  <c r="AC33" i="1" s="1"/>
  <c r="AC31" i="1" s="1"/>
  <c r="AC207" i="1" s="1"/>
  <c r="AB34" i="1"/>
  <c r="AA34" i="1"/>
  <c r="Z34" i="1"/>
  <c r="Y34" i="1"/>
  <c r="X34" i="1"/>
  <c r="X33" i="1" s="1"/>
  <c r="X31" i="1" s="1"/>
  <c r="X207" i="1" s="1"/>
  <c r="W34" i="1"/>
  <c r="W33" i="1" s="1"/>
  <c r="V34" i="1"/>
  <c r="V33" i="1" s="1"/>
  <c r="U34" i="1"/>
  <c r="T34" i="1"/>
  <c r="S34" i="1"/>
  <c r="R34" i="1"/>
  <c r="Q34" i="1"/>
  <c r="P34" i="1"/>
  <c r="P33" i="1" s="1"/>
  <c r="P31" i="1" s="1"/>
  <c r="P207" i="1" s="1"/>
  <c r="O34" i="1"/>
  <c r="O33" i="1" s="1"/>
  <c r="O31" i="1" s="1"/>
  <c r="O207" i="1" s="1"/>
  <c r="N34" i="1"/>
  <c r="N33" i="1" s="1"/>
  <c r="M34" i="1"/>
  <c r="L34" i="1"/>
  <c r="K34" i="1"/>
  <c r="J34" i="1"/>
  <c r="I34" i="1"/>
  <c r="I33" i="1" s="1"/>
  <c r="I31" i="1" s="1"/>
  <c r="I207" i="1" s="1"/>
  <c r="H34" i="1"/>
  <c r="H33" i="1" s="1"/>
  <c r="H31" i="1" s="1"/>
  <c r="H207" i="1" s="1"/>
  <c r="G34" i="1"/>
  <c r="G33" i="1" s="1"/>
  <c r="G31" i="1" s="1"/>
  <c r="G207" i="1" s="1"/>
  <c r="F34" i="1"/>
  <c r="F33" i="1" s="1"/>
  <c r="F31" i="1" s="1"/>
  <c r="E34" i="1"/>
  <c r="AF34" i="1" s="1"/>
  <c r="AW34" i="1" s="1"/>
  <c r="AS33" i="1"/>
  <c r="AR33" i="1"/>
  <c r="AQ33" i="1"/>
  <c r="AQ31" i="1" s="1"/>
  <c r="AM33" i="1"/>
  <c r="AM15" i="1" s="1"/>
  <c r="AM14" i="1" s="1"/>
  <c r="AL33" i="1"/>
  <c r="AK33" i="1"/>
  <c r="AK31" i="1" s="1"/>
  <c r="AJ33" i="1"/>
  <c r="AJ31" i="1" s="1"/>
  <c r="AB33" i="1"/>
  <c r="AA33" i="1"/>
  <c r="AH33" i="1" s="1"/>
  <c r="Z33" i="1"/>
  <c r="Z31" i="1" s="1"/>
  <c r="Z207" i="1" s="1"/>
  <c r="Y33" i="1"/>
  <c r="Y31" i="1" s="1"/>
  <c r="Y207" i="1" s="1"/>
  <c r="U33" i="1"/>
  <c r="U31" i="1" s="1"/>
  <c r="U207" i="1" s="1"/>
  <c r="Q33" i="1"/>
  <c r="Q31" i="1" s="1"/>
  <c r="Q207" i="1" s="1"/>
  <c r="M33" i="1"/>
  <c r="L33" i="1"/>
  <c r="L31" i="1" s="1"/>
  <c r="L207" i="1" s="1"/>
  <c r="K33" i="1"/>
  <c r="K31" i="1" s="1"/>
  <c r="K207" i="1" s="1"/>
  <c r="J33" i="1"/>
  <c r="J31" i="1" s="1"/>
  <c r="J207" i="1" s="1"/>
  <c r="AV32" i="1"/>
  <c r="AW32" i="1" s="1"/>
  <c r="AH32" i="1"/>
  <c r="AF32" i="1"/>
  <c r="AE32" i="1"/>
  <c r="AS31" i="1"/>
  <c r="AR31" i="1"/>
  <c r="AA31" i="1"/>
  <c r="AV30" i="1"/>
  <c r="AF30" i="1"/>
  <c r="AI30" i="1" s="1"/>
  <c r="AE30" i="1"/>
  <c r="AE29" i="1"/>
  <c r="AW28" i="1"/>
  <c r="AV28" i="1"/>
  <c r="AU28" i="1"/>
  <c r="AT28" i="1"/>
  <c r="AF28" i="1"/>
  <c r="AE28" i="1"/>
  <c r="AV27" i="1"/>
  <c r="AW27" i="1" s="1"/>
  <c r="AF27" i="1"/>
  <c r="AE27" i="1"/>
  <c r="AV26" i="1"/>
  <c r="AF26" i="1"/>
  <c r="AW26" i="1" s="1"/>
  <c r="AE26" i="1"/>
  <c r="AV25" i="1"/>
  <c r="AF25" i="1"/>
  <c r="AW25" i="1" s="1"/>
  <c r="AE25" i="1"/>
  <c r="AQ24" i="1"/>
  <c r="AQ23" i="1" s="1"/>
  <c r="AQ22" i="1" s="1"/>
  <c r="AL24" i="1"/>
  <c r="AF24" i="1"/>
  <c r="AE24" i="1"/>
  <c r="AU23" i="1"/>
  <c r="AU22" i="1" s="1"/>
  <c r="AT23" i="1"/>
  <c r="AT22" i="1" s="1"/>
  <c r="AS23" i="1"/>
  <c r="AR23" i="1"/>
  <c r="AP23" i="1"/>
  <c r="AO23" i="1"/>
  <c r="AL23" i="1"/>
  <c r="AL22" i="1" s="1"/>
  <c r="AK23" i="1"/>
  <c r="AK22" i="1" s="1"/>
  <c r="AJ23" i="1"/>
  <c r="U23" i="1"/>
  <c r="S23" i="1"/>
  <c r="R23" i="1"/>
  <c r="R22" i="1" s="1"/>
  <c r="R12" i="1" s="1"/>
  <c r="Q23" i="1"/>
  <c r="Q22" i="1" s="1"/>
  <c r="Q12" i="1" s="1"/>
  <c r="P23" i="1"/>
  <c r="P22" i="1" s="1"/>
  <c r="O23" i="1"/>
  <c r="O22" i="1" s="1"/>
  <c r="O12" i="1" s="1"/>
  <c r="N23" i="1"/>
  <c r="M23" i="1"/>
  <c r="L23" i="1"/>
  <c r="K23" i="1"/>
  <c r="J23" i="1"/>
  <c r="J22" i="1" s="1"/>
  <c r="J12" i="1" s="1"/>
  <c r="I23" i="1"/>
  <c r="I22" i="1" s="1"/>
  <c r="I12" i="1" s="1"/>
  <c r="H23" i="1"/>
  <c r="H22" i="1" s="1"/>
  <c r="G23" i="1"/>
  <c r="G22" i="1" s="1"/>
  <c r="F23" i="1"/>
  <c r="AF23" i="1" s="1"/>
  <c r="E23" i="1"/>
  <c r="AS22" i="1"/>
  <c r="AR22" i="1"/>
  <c r="AP22" i="1"/>
  <c r="AO22" i="1"/>
  <c r="AJ22" i="1"/>
  <c r="U22" i="1"/>
  <c r="S22" i="1"/>
  <c r="N22" i="1"/>
  <c r="M22" i="1"/>
  <c r="L22" i="1"/>
  <c r="K22" i="1"/>
  <c r="F22" i="1"/>
  <c r="E22" i="1"/>
  <c r="AV21" i="1"/>
  <c r="AF21" i="1"/>
  <c r="AW21" i="1" s="1"/>
  <c r="AE21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F20" i="1" s="1"/>
  <c r="AW20" i="1" s="1"/>
  <c r="E20" i="1"/>
  <c r="AE20" i="1" s="1"/>
  <c r="AV19" i="1"/>
  <c r="AF19" i="1"/>
  <c r="AW19" i="1" s="1"/>
  <c r="AE19" i="1"/>
  <c r="AV18" i="1"/>
  <c r="AF18" i="1"/>
  <c r="AW18" i="1" s="1"/>
  <c r="AE18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U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F17" i="1" s="1"/>
  <c r="AW17" i="1" s="1"/>
  <c r="E17" i="1"/>
  <c r="AE17" i="1" s="1"/>
  <c r="AW16" i="1"/>
  <c r="AV16" i="1"/>
  <c r="AF16" i="1"/>
  <c r="AE16" i="1"/>
  <c r="AS15" i="1"/>
  <c r="AS14" i="1" s="1"/>
  <c r="AS13" i="1" s="1"/>
  <c r="AR15" i="1"/>
  <c r="AR14" i="1" s="1"/>
  <c r="AR13" i="1" s="1"/>
  <c r="AQ15" i="1"/>
  <c r="AQ14" i="1" s="1"/>
  <c r="AQ13" i="1" s="1"/>
  <c r="AP15" i="1"/>
  <c r="AP14" i="1" s="1"/>
  <c r="AP13" i="1" s="1"/>
  <c r="AL15" i="1"/>
  <c r="AF15" i="1"/>
  <c r="AE15" i="1"/>
  <c r="AU14" i="1"/>
  <c r="AN14" i="1"/>
  <c r="AK14" i="1"/>
  <c r="AK13" i="1" s="1"/>
  <c r="AJ14" i="1"/>
  <c r="AJ13" i="1" s="1"/>
  <c r="U14" i="1"/>
  <c r="U13" i="1" s="1"/>
  <c r="U12" i="1" s="1"/>
  <c r="S14" i="1"/>
  <c r="R14" i="1"/>
  <c r="Q14" i="1"/>
  <c r="P14" i="1"/>
  <c r="P13" i="1" s="1"/>
  <c r="O14" i="1"/>
  <c r="O13" i="1" s="1"/>
  <c r="N14" i="1"/>
  <c r="N13" i="1" s="1"/>
  <c r="N12" i="1" s="1"/>
  <c r="M14" i="1"/>
  <c r="L14" i="1"/>
  <c r="K14" i="1"/>
  <c r="J14" i="1"/>
  <c r="I14" i="1"/>
  <c r="H14" i="1"/>
  <c r="H13" i="1" s="1"/>
  <c r="G14" i="1"/>
  <c r="G13" i="1" s="1"/>
  <c r="E14" i="1"/>
  <c r="AE14" i="1" s="1"/>
  <c r="AU13" i="1"/>
  <c r="AN13" i="1"/>
  <c r="AM13" i="1"/>
  <c r="S13" i="1"/>
  <c r="R13" i="1"/>
  <c r="Q13" i="1"/>
  <c r="M13" i="1"/>
  <c r="M12" i="1" s="1"/>
  <c r="L13" i="1"/>
  <c r="L12" i="1" s="1"/>
  <c r="K13" i="1"/>
  <c r="K12" i="1" s="1"/>
  <c r="J13" i="1"/>
  <c r="I13" i="1"/>
  <c r="F13" i="1"/>
  <c r="AJ12" i="1"/>
  <c r="S12" i="1"/>
  <c r="G1" i="1"/>
  <c r="AT31" i="1" l="1"/>
  <c r="AT15" i="1"/>
  <c r="AT14" i="1" s="1"/>
  <c r="AT13" i="1" s="1"/>
  <c r="AN31" i="1"/>
  <c r="AN24" i="1"/>
  <c r="AN23" i="1" s="1"/>
  <c r="AN22" i="1" s="1"/>
  <c r="AF22" i="1"/>
  <c r="G12" i="1"/>
  <c r="AL31" i="1"/>
  <c r="AE22" i="1"/>
  <c r="F12" i="1"/>
  <c r="E33" i="1"/>
  <c r="AH51" i="1"/>
  <c r="V53" i="1"/>
  <c r="V31" i="1" s="1"/>
  <c r="V207" i="1" s="1"/>
  <c r="AL54" i="1"/>
  <c r="AV56" i="1"/>
  <c r="AV54" i="1" s="1"/>
  <c r="AW121" i="1"/>
  <c r="AW123" i="1"/>
  <c r="AF14" i="1"/>
  <c r="E13" i="1"/>
  <c r="H12" i="1"/>
  <c r="AL14" i="1"/>
  <c r="AL13" i="1" s="1"/>
  <c r="AL12" i="1" s="1"/>
  <c r="AL207" i="1" s="1"/>
  <c r="AM30" i="1" s="1"/>
  <c r="AM12" i="1" s="1"/>
  <c r="AM207" i="1" s="1"/>
  <c r="AN30" i="1" s="1"/>
  <c r="AE23" i="1"/>
  <c r="AH61" i="1"/>
  <c r="AE92" i="1"/>
  <c r="AF203" i="1"/>
  <c r="AW204" i="1" s="1"/>
  <c r="AH31" i="1"/>
  <c r="AA207" i="1"/>
  <c r="AH207" i="1" s="1"/>
  <c r="AF51" i="1"/>
  <c r="AW52" i="1" s="1"/>
  <c r="AW63" i="1"/>
  <c r="AW100" i="1"/>
  <c r="AJ207" i="1"/>
  <c r="AK30" i="1" s="1"/>
  <c r="AM31" i="1"/>
  <c r="AW56" i="1"/>
  <c r="AW62" i="1"/>
  <c r="AO15" i="1"/>
  <c r="AO14" i="1" s="1"/>
  <c r="AO13" i="1" s="1"/>
  <c r="AO31" i="1"/>
  <c r="AE45" i="1"/>
  <c r="AW163" i="1"/>
  <c r="AF37" i="1"/>
  <c r="AW37" i="1" s="1"/>
  <c r="AH53" i="1"/>
  <c r="AH60" i="1"/>
  <c r="AE61" i="1"/>
  <c r="AW169" i="1"/>
  <c r="AK12" i="1"/>
  <c r="AK207" i="1" s="1"/>
  <c r="AL30" i="1" s="1"/>
  <c r="AW24" i="1"/>
  <c r="AH34" i="1"/>
  <c r="AW42" i="1"/>
  <c r="AE33" i="1"/>
  <c r="W31" i="1"/>
  <c r="P12" i="1"/>
  <c r="AV24" i="1"/>
  <c r="AV23" i="1" s="1"/>
  <c r="AV22" i="1" s="1"/>
  <c r="AE37" i="1"/>
  <c r="AF53" i="1"/>
  <c r="AW54" i="1" s="1"/>
  <c r="AW78" i="1"/>
  <c r="AW94" i="1"/>
  <c r="AW150" i="1"/>
  <c r="N97" i="1"/>
  <c r="N60" i="1" s="1"/>
  <c r="AF184" i="1"/>
  <c r="AW185" i="1" s="1"/>
  <c r="AE184" i="1"/>
  <c r="AW203" i="1"/>
  <c r="AU98" i="1"/>
  <c r="AU61" i="1" s="1"/>
  <c r="AU31" i="1" s="1"/>
  <c r="N31" i="1" l="1"/>
  <c r="N207" i="1" s="1"/>
  <c r="AF60" i="1"/>
  <c r="AW61" i="1" s="1"/>
  <c r="AE60" i="1"/>
  <c r="AE31" i="1" s="1"/>
  <c r="AY41" i="1" s="1"/>
  <c r="AZ41" i="1" s="1"/>
  <c r="W207" i="1"/>
  <c r="AY36" i="1"/>
  <c r="AF97" i="1"/>
  <c r="AW98" i="1" s="1"/>
  <c r="AV15" i="1"/>
  <c r="AW22" i="1"/>
  <c r="AE97" i="1"/>
  <c r="E12" i="1"/>
  <c r="E206" i="1" s="1"/>
  <c r="AF13" i="1"/>
  <c r="AF12" i="1" s="1"/>
  <c r="AE13" i="1"/>
  <c r="AE12" i="1" s="1"/>
  <c r="AF33" i="1"/>
  <c r="AY32" i="1"/>
  <c r="AY33" i="1" s="1"/>
  <c r="AY34" i="1" s="1"/>
  <c r="E31" i="1"/>
  <c r="AW23" i="1"/>
  <c r="AN12" i="1"/>
  <c r="AN207" i="1" s="1"/>
  <c r="AO30" i="1" s="1"/>
  <c r="AO12" i="1" s="1"/>
  <c r="AO207" i="1" s="1"/>
  <c r="AP30" i="1" s="1"/>
  <c r="AP12" i="1" s="1"/>
  <c r="AP207" i="1" s="1"/>
  <c r="AQ30" i="1" s="1"/>
  <c r="AQ12" i="1" s="1"/>
  <c r="AQ207" i="1" s="1"/>
  <c r="AR30" i="1" s="1"/>
  <c r="AR12" i="1" s="1"/>
  <c r="AR207" i="1" s="1"/>
  <c r="AS30" i="1" s="1"/>
  <c r="AS12" i="1" s="1"/>
  <c r="AS207" i="1" s="1"/>
  <c r="AT30" i="1" s="1"/>
  <c r="AT12" i="1" s="1"/>
  <c r="AT207" i="1" s="1"/>
  <c r="AU30" i="1" s="1"/>
  <c r="AU12" i="1" s="1"/>
  <c r="AU207" i="1" s="1"/>
  <c r="AV206" i="1" s="1"/>
  <c r="AV31" i="1" s="1"/>
  <c r="AY37" i="1" l="1"/>
  <c r="BA37" i="1" s="1"/>
  <c r="BA36" i="1"/>
  <c r="E207" i="1"/>
  <c r="AF207" i="1" s="1"/>
  <c r="D2" i="1"/>
  <c r="AW15" i="1"/>
  <c r="AV14" i="1"/>
  <c r="AF206" i="1"/>
  <c r="AE206" i="1"/>
  <c r="BA34" i="1"/>
  <c r="AY35" i="1"/>
  <c r="BA35" i="1" s="1"/>
  <c r="AW33" i="1"/>
  <c r="AW31" i="1" s="1"/>
  <c r="AF31" i="1"/>
  <c r="AE207" i="1" l="1"/>
  <c r="AV13" i="1"/>
  <c r="AW14" i="1"/>
  <c r="AW13" i="1" l="1"/>
  <c r="AW12" i="1" s="1"/>
  <c r="AV12" i="1"/>
</calcChain>
</file>

<file path=xl/sharedStrings.xml><?xml version="1.0" encoding="utf-8"?>
<sst xmlns="http://schemas.openxmlformats.org/spreadsheetml/2006/main" count="440" uniqueCount="319">
  <si>
    <t>INCORPORAR EN MODIF 5</t>
  </si>
  <si>
    <t>T.R.</t>
  </si>
  <si>
    <t>T.R</t>
  </si>
  <si>
    <t>EN DIPRES</t>
  </si>
  <si>
    <t xml:space="preserve">FECHA </t>
  </si>
  <si>
    <t>TOMA DE RAZÓN</t>
  </si>
  <si>
    <t xml:space="preserve">PPTO INICIAL  LEY N°  </t>
  </si>
  <si>
    <t>EE0150</t>
  </si>
  <si>
    <t>PPTO TOMADO RAZON AL 30-06-2021</t>
  </si>
  <si>
    <t>PPTO VIGENTE</t>
  </si>
  <si>
    <t>ENERO REAL</t>
  </si>
  <si>
    <t>FEBRERO GORE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</si>
  <si>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</si>
  <si>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</si>
  <si>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</si>
  <si>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</si>
  <si>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</si>
  <si>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</si>
  <si>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</si>
  <si>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</si>
  <si>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</si>
  <si>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</si>
  <si>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 EN M$</t>
  </si>
  <si>
    <t>EE0167</t>
  </si>
  <si>
    <t>EE0006</t>
  </si>
  <si>
    <t>EE0052</t>
  </si>
  <si>
    <t>23.01</t>
  </si>
  <si>
    <t>EE0025</t>
  </si>
  <si>
    <t>EE0029</t>
  </si>
  <si>
    <t>EE0182</t>
  </si>
  <si>
    <t>EE0109</t>
  </si>
  <si>
    <t>RESOL SUBDERE</t>
  </si>
  <si>
    <t>GOBIERNO REGIONAL REGION VII MAULE</t>
  </si>
  <si>
    <t>18.01/02.02</t>
  </si>
  <si>
    <t>13.01/01.02</t>
  </si>
  <si>
    <t xml:space="preserve">RESOLUCION </t>
  </si>
  <si>
    <t>22.01/01.02</t>
  </si>
  <si>
    <t>2501/04.02</t>
  </si>
  <si>
    <t>27.01/01.02</t>
  </si>
  <si>
    <t>01.02</t>
  </si>
  <si>
    <t>INVERSIÓN REGIONAL REGION VII</t>
  </si>
  <si>
    <t>GLOSA 06 EMERG</t>
  </si>
  <si>
    <t>S.SANIT.</t>
  </si>
  <si>
    <t>AJUSTE</t>
  </si>
  <si>
    <t>FIC 03</t>
  </si>
  <si>
    <t>PVP</t>
  </si>
  <si>
    <t>PPIR</t>
  </si>
  <si>
    <t xml:space="preserve">DEUDA </t>
  </si>
  <si>
    <t>FET COVID</t>
  </si>
  <si>
    <t>CONVERGENCIA</t>
  </si>
  <si>
    <t>SUB. 24 GLOSA 2,3 Y 6%</t>
  </si>
  <si>
    <t>SERCOTEC, SERNAMEG, CORFO y Medio Amb.</t>
  </si>
  <si>
    <t>Subse Trabajo PROEMPLEO</t>
  </si>
  <si>
    <t>Subse Vivienda - Villa el Esfuerzo</t>
  </si>
  <si>
    <t>LEY 21.073</t>
  </si>
  <si>
    <t>Reasignaciones</t>
  </si>
  <si>
    <t>FOSIS, SUBTEL, SERNAMEG, INDESPA, SERCOTEC</t>
  </si>
  <si>
    <t>SANEAMIENTO SANITARIO</t>
  </si>
  <si>
    <t>PIR</t>
  </si>
  <si>
    <t>INDAP</t>
  </si>
  <si>
    <t>EFICIENCIA</t>
  </si>
  <si>
    <t>P-02</t>
  </si>
  <si>
    <t>P-50</t>
  </si>
  <si>
    <t>TOTAL</t>
  </si>
  <si>
    <t>Subt.</t>
  </si>
  <si>
    <t>Item</t>
  </si>
  <si>
    <t>Asig.</t>
  </si>
  <si>
    <t>I N G R E S O S</t>
  </si>
  <si>
    <t>05</t>
  </si>
  <si>
    <t/>
  </si>
  <si>
    <t>TRANSFERENCIAS CORRIENTES</t>
  </si>
  <si>
    <t>02</t>
  </si>
  <si>
    <t>Del Gobierno Central</t>
  </si>
  <si>
    <t>001</t>
  </si>
  <si>
    <t>Financiamiento Regional Tesoro Público</t>
  </si>
  <si>
    <t>06</t>
  </si>
  <si>
    <t>RENTAS DE LA PROPIEDAD</t>
  </si>
  <si>
    <t>08</t>
  </si>
  <si>
    <t>OTROS INGRESOS CORRIENTES</t>
  </si>
  <si>
    <t>Multas y Sanciones Pecuniarias</t>
  </si>
  <si>
    <t>99</t>
  </si>
  <si>
    <t>Otros</t>
  </si>
  <si>
    <t>12</t>
  </si>
  <si>
    <t>RECUPERACIÓN DE PRÉSTAMOS</t>
  </si>
  <si>
    <t>Por Anticipos a Contratistas</t>
  </si>
  <si>
    <t>13</t>
  </si>
  <si>
    <t>TRANSFERENCIAS PARA GASTOS DE CAPITAL</t>
  </si>
  <si>
    <t>003</t>
  </si>
  <si>
    <t>Subsecretaría de Bienes Nacionales</t>
  </si>
  <si>
    <t>004</t>
  </si>
  <si>
    <t>Subsecretaría de Desarrollo Regional y Administrativo</t>
  </si>
  <si>
    <t>008</t>
  </si>
  <si>
    <t xml:space="preserve"> Tesoro Público Ley N°19.995, Casinos de Juegos </t>
  </si>
  <si>
    <t>200</t>
  </si>
  <si>
    <t>Fondo de Emergencia Transitorio</t>
  </si>
  <si>
    <t>15</t>
  </si>
  <si>
    <t>SALDO INICIAL DE CAJA</t>
  </si>
  <si>
    <t>G A S T O S</t>
  </si>
  <si>
    <t>PRESUPUESTO VIGENTE</t>
  </si>
  <si>
    <t>M$</t>
  </si>
  <si>
    <t>22</t>
  </si>
  <si>
    <t>BIENES Y SERVICIOS DE CONSUMO</t>
  </si>
  <si>
    <t>ENERO</t>
  </si>
  <si>
    <t>24</t>
  </si>
  <si>
    <t>FEBRERO</t>
  </si>
  <si>
    <t>01</t>
  </si>
  <si>
    <t>Al Sector Privado</t>
  </si>
  <si>
    <t>006</t>
  </si>
  <si>
    <t>Corporación Agencia Regional Desarrollo Productivo de la Región del Maule</t>
  </si>
  <si>
    <t>Aplicación Numeral 2.1 Glosa Común para Gobiernos Regionales</t>
  </si>
  <si>
    <t>03</t>
  </si>
  <si>
    <t>A Otras Entidades Públicas</t>
  </si>
  <si>
    <t>010</t>
  </si>
  <si>
    <t>Aplicación letra a) numeral 2.3 glosa 02 Gobiernos Regionales</t>
  </si>
  <si>
    <t>Aplicación letra f) numeral 2.3 glosa 02 Gobiernos Regionales</t>
  </si>
  <si>
    <t>Aplicación letra i) numeral 2.3 glosa 02 Gobiernos Regionales</t>
  </si>
  <si>
    <t>INTEGROS AL FISCO</t>
  </si>
  <si>
    <t>Otros Integros al Fisco</t>
  </si>
  <si>
    <t>29</t>
  </si>
  <si>
    <t>ADQUISICION DE ACTIVOS NO FINANCIEROS</t>
  </si>
  <si>
    <t>Vehículos</t>
  </si>
  <si>
    <t>04</t>
  </si>
  <si>
    <t>Mobiliario y Otros</t>
  </si>
  <si>
    <t>Maquinas y Equipos</t>
  </si>
  <si>
    <t>Equipos Informáticos</t>
  </si>
  <si>
    <t>07</t>
  </si>
  <si>
    <t>Programas Informáticos</t>
  </si>
  <si>
    <t>ADQUISICIÓN DE ACTIVOS FINANCIEROS</t>
  </si>
  <si>
    <t>31</t>
  </si>
  <si>
    <t>INICIATIVAS DE INVERSION</t>
  </si>
  <si>
    <t>Estudios Básicos</t>
  </si>
  <si>
    <t>Proyectos</t>
  </si>
  <si>
    <t>Programas de Inversión</t>
  </si>
  <si>
    <t>32</t>
  </si>
  <si>
    <t>PRESTAMOS</t>
  </si>
  <si>
    <t>Anticipos a Contratistas</t>
  </si>
  <si>
    <t>33</t>
  </si>
  <si>
    <t>TRANSFERENCIAS DE CAPITAL</t>
  </si>
  <si>
    <t>Junta Nacional de Cuerpos de Bomberos de Chile</t>
  </si>
  <si>
    <t>Aplicación Letra a) Art. 4° Transitorio Ley N°20.378</t>
  </si>
  <si>
    <t>FIA - Extensión, capacitación, investigación innovación berries (30470434-0)</t>
  </si>
  <si>
    <t>INFOR - Producción, promoción y protección para el Santuario Achibueno (30479588-0)</t>
  </si>
  <si>
    <t>FIC</t>
  </si>
  <si>
    <t>249</t>
  </si>
  <si>
    <t>INIA - Mejoramiento de la calidad y tolerancia al estrés en arandano (40001062-0)</t>
  </si>
  <si>
    <t>250</t>
  </si>
  <si>
    <t>Universidad Católica del Maule - Cultivo de papaya en la región del maule (40001077-0)</t>
  </si>
  <si>
    <t>251</t>
  </si>
  <si>
    <t>Universidad Autonoma - Sintur maule provincia de linares (40001078-0)</t>
  </si>
  <si>
    <t>252</t>
  </si>
  <si>
    <t>INIA - Colección pública de microorganismos del maule (40001104-0)</t>
  </si>
  <si>
    <t>253</t>
  </si>
  <si>
    <t>Universidad Católica del Maule - Desarrollo equipo estimación calidad de frambuesa (40001110-0)</t>
  </si>
  <si>
    <t>255</t>
  </si>
  <si>
    <t>Universidad Católica del Maule - Recomendación de nuevas variedades de berries (40001114-0)</t>
  </si>
  <si>
    <t>259</t>
  </si>
  <si>
    <t>Universidad Católica del Maule - Innovación sustentable ladrillos región del maule (40001167-0)</t>
  </si>
  <si>
    <t>260</t>
  </si>
  <si>
    <t>Universidad Católica del Maule - Examen innovador para facilitar erradicación de h. pylori (40001205-0)</t>
  </si>
  <si>
    <t>261</t>
  </si>
  <si>
    <t>INIA-Caracterización y valorización de vides y vinos del Maule (40018935-0)</t>
  </si>
  <si>
    <t>262</t>
  </si>
  <si>
    <t>Universidad Católica del Maule-Biomarcador en quimioterapia (40018938-0)</t>
  </si>
  <si>
    <t>263</t>
  </si>
  <si>
    <t>Universidad Católica del Maule-Prevención de helicobacter pylory mediante alimentos (40019043-0)</t>
  </si>
  <si>
    <t>264</t>
  </si>
  <si>
    <t>Universidad Católica del Maule-Beesong: identificación de abejas por zumbido (40019177-0)</t>
  </si>
  <si>
    <t>Corporación Regional de Desarrollo Productivo - Análisis de desarrollo de ingredientes funcionales (40018778-0)</t>
  </si>
  <si>
    <t>Universidad Católica del Maule - Modelos de combustible con radar para prevención y manejo de incendios (40027601-0)</t>
  </si>
  <si>
    <t>Universidad Católica del Maule - Unidad de Innovación en prevención oncológica de precisión (40027611-0)</t>
  </si>
  <si>
    <t>CEAP - Valorización de subproductos para obtener proteínas (40027613-0)</t>
  </si>
  <si>
    <t>INIA - Producción de arroz climáticamente inteligente (40027609-0)</t>
  </si>
  <si>
    <t>Universidad Autónoma de Chile - Hidroclim (40027628-0)</t>
  </si>
  <si>
    <t>CEAP - Nodo de alimentos saludables en la región (40027632-0)</t>
  </si>
  <si>
    <t>Universidad Católica del Maule - Bioclamshells biodegradables para la exportación de fruta (40027624-0)</t>
  </si>
  <si>
    <t>INIA - Mosca suzukil protección fruticultura y empleo (40027596-0)</t>
  </si>
  <si>
    <t>Universidad Autónoma de Chile - Control de calidad Inteligente (40027629-0)</t>
  </si>
  <si>
    <t>Universidad Católica del Maule - Insumos cosméticos y nutricosméticos a partir de subproductos de uva país (40027827-0)</t>
  </si>
  <si>
    <t>Universidad Católica del Maule - Invierte - woman (40027592-0)</t>
  </si>
  <si>
    <t>Universidad Católica del Maule - Monitoreo covid 19 (40027608-0)</t>
  </si>
  <si>
    <t>Pontificia Universidad Católica de Chile - Cobertor eficiente, resiliente y sustentable para cerezos en el maule (40027605-0)</t>
  </si>
  <si>
    <t>Al Gobierno Central</t>
  </si>
  <si>
    <t>Corporación Nacional Forestal</t>
  </si>
  <si>
    <t>Subsecretaria del Trabajo - PROEMPLEO</t>
  </si>
  <si>
    <t>024</t>
  </si>
  <si>
    <t>Subsecretaria de Vivienda</t>
  </si>
  <si>
    <t>  Municipalidades (Programa Mejoramiento de Barrios)</t>
  </si>
  <si>
    <t>  Municipalidades (Fondo Regional de Iniciativa Local)</t>
  </si>
  <si>
    <t>  Municipalidades</t>
  </si>
  <si>
    <t>  CORFO-Apoyo a la Inversión en Zonas de Oportunidades (30303223-0)</t>
  </si>
  <si>
    <t>SERNATUR-Transferencia Bianual Identidad, Gestión y Promoción Turística de la Región del Maule (30368625-0)</t>
  </si>
  <si>
    <t>Comisión Nacional de Riego-Programa Integral de Riego Región del Maule (30392723-0)</t>
  </si>
  <si>
    <t>Comisión Nacional de Riego-Programa Integral de Riego Región del Maule 2015-2018 (30392724-0)</t>
  </si>
  <si>
    <t>INDAP-Mejoramiento Competitividad Cultivo del Maíz en el Maule (30392575-0)</t>
  </si>
  <si>
    <t>  Subsecretaría de Pesca - Fomento productivo para organizaciones pesca artesanal (30447823-0)</t>
  </si>
  <si>
    <t>CORFO - Acuerdos de producción limpia vitivinícola, berries y turismo zonas rezagadas (30436888-0)</t>
  </si>
  <si>
    <t>CORFO - Implementación en prácticas de producción limpia (30444022-0)</t>
  </si>
  <si>
    <t>  SEREMI MEDIO AMBIENTE MAULE - Fortalecimiento a la educación y gestión ambiental (30465406-0)</t>
  </si>
  <si>
    <t>SERCOTEC - Asesoría y acceso al financiamiento para empresas y emprendedores (30443625-0)</t>
  </si>
  <si>
    <t>  SERNAM - Fortalecimiento comercialización en microempresarias zonas rezagadas (30453437-0)</t>
  </si>
  <si>
    <t>  CORFO-Apoyo a la inversión productiva para la reactivación (30479247-0)</t>
  </si>
  <si>
    <t>  CORFO-Apoyo al emprendimiento - PRAE (30479249-0)</t>
  </si>
  <si>
    <t>  CORFO-Producción limpia y cambio climático (30474258-0)</t>
  </si>
  <si>
    <t>  INDAP-Cubiertas en cerezos en la región (30467883-0)</t>
  </si>
  <si>
    <t>  INDAP-Invernaderos israelíes para producir hortalizas y flores (30467885-0)</t>
  </si>
  <si>
    <t>  INDAP-Fortalecimiento productivo comercial empresas campesinas (30477689-0)</t>
  </si>
  <si>
    <t>  SENCE-Capacitación jóvenes emprendedores (30473490-0)</t>
  </si>
  <si>
    <t>  SERNAM-Capacitación intervención en emprendimiento con enfoque de género (30465186-0)</t>
  </si>
  <si>
    <t>  Subsecretaría de Energía-Fortalecimiento programa fomento para empresas productoras (30481104-0)</t>
  </si>
  <si>
    <t>  Subsecretaría de Educación-Mejoramiento de la educación regional en el ámbito del inglés (30477484-0)</t>
  </si>
  <si>
    <t>  Servicio de Salud del Maule - Capacitación programa becas Maule II (40001952-0)</t>
  </si>
  <si>
    <t>  Subsecretaría de Energía - Desarrollo alternativas locales con fines energéticos (30481105-0)</t>
  </si>
  <si>
    <t>  CORFO - Programa tecnológico de Smart Fruit (40001186-0)</t>
  </si>
  <si>
    <t>INDAP- Mejoramiento tecnológ1co cult1v0 de maiz (40016663-0)</t>
  </si>
  <si>
    <t>Subsecretaria de Medio Ambiente-  Recambio de calefactores (4001 0033-0)</t>
  </si>
  <si>
    <t>CONAF - Prevención de incendios forestales en la región (40011208-0)</t>
  </si>
  <si>
    <t>513</t>
  </si>
  <si>
    <t>Universidad Tecnológica Metropolitana-Caracterización Tecnología Productiva Avellano Nativo (30388076-0)</t>
  </si>
  <si>
    <t>521</t>
  </si>
  <si>
    <t>CONICYT - Estrategia regional de innovación (30481924-0)</t>
  </si>
  <si>
    <t>522</t>
  </si>
  <si>
    <t>Universidad de Talca - Biomasa para fines energéticos e industriales (30481914-0)</t>
  </si>
  <si>
    <t>523</t>
  </si>
  <si>
    <t>Universidad de Talca - Maximización de producción de metabolitos (30481916-0)</t>
  </si>
  <si>
    <t>524</t>
  </si>
  <si>
    <t>Universidad de Talca - Cuantificación de contaminación por plaguicidas (30481950-0)</t>
  </si>
  <si>
    <t>525</t>
  </si>
  <si>
    <t>Universidad de Talca - Biofertilizante líquido enriquecido con bacterias (30481999-0)</t>
  </si>
  <si>
    <t>526</t>
  </si>
  <si>
    <t>Universidad de Talca - Implementación de un laboratorio de innovación social (30481941-0)</t>
  </si>
  <si>
    <t>528</t>
  </si>
  <si>
    <t>Universidad de Talca - Valorización de desechos reciclables (30481945-0)</t>
  </si>
  <si>
    <t>529</t>
  </si>
  <si>
    <t>Universidad de Chile - Pronóstico de caudales estivales (30481958-0)</t>
  </si>
  <si>
    <t>530</t>
  </si>
  <si>
    <t>Universidad de Talca - Telerrehabilitación kinésica con realidad virtual (30481923-0)</t>
  </si>
  <si>
    <t>531</t>
  </si>
  <si>
    <t>Universidad de Talca - Centro fab-lab Maule (30481953-0)</t>
  </si>
  <si>
    <t>533</t>
  </si>
  <si>
    <t>Universidad de Talca - Innovación en exportación de servicios para pymes (30481951-0)</t>
  </si>
  <si>
    <t>534</t>
  </si>
  <si>
    <t>Universidad de Talca - Marca colectiva para comercialización de espumantes (30482013-0)</t>
  </si>
  <si>
    <t>535</t>
  </si>
  <si>
    <t>Universidad de Talca - Sistema de alerta temprana y sectorizada de heladas (30481998-0)</t>
  </si>
  <si>
    <t>536</t>
  </si>
  <si>
    <t>Universidad de Talca - Maule trc, innovación y tecnologías para el turismo (40001081-0)</t>
  </si>
  <si>
    <t>537</t>
  </si>
  <si>
    <t>Universidad de Talca - Ozono para el tratamiento de agua en berries (40001082-0)</t>
  </si>
  <si>
    <t>538</t>
  </si>
  <si>
    <t>Universidad de Talca - Sistema integrado para uavs en respuesta a incendios forestales (40001090-0)</t>
  </si>
  <si>
    <t>539</t>
  </si>
  <si>
    <t>Universidad de Talca - Monitoreo calidad del aire (40001091-0)</t>
  </si>
  <si>
    <t>540</t>
  </si>
  <si>
    <t>Universidad de Talca - Software para detección de riesgos de trastornos mentales en adolescentes (40001103-0)</t>
  </si>
  <si>
    <t>541</t>
  </si>
  <si>
    <t>Universidad de Talca - Servicio biotecnológico de diseño y producción de enzimas (40001111-0)</t>
  </si>
  <si>
    <t>  CONAF-Manejo de mitigación de los efectos de la eutrificación de la laguna torca (40001973-0)</t>
  </si>
  <si>
    <t>  SAG-Sostentabilidad de los suelos agrícolas en provincia de Linares (40009900-0)</t>
  </si>
  <si>
    <t>  SEREMI de Agricultura-Fomento productivo remolacha (40009606-0)</t>
  </si>
  <si>
    <t>  Comisión Nacional de Riego - Mejoramiento de la infraestructura de riego (40008483-0)</t>
  </si>
  <si>
    <t>  CORFO- Apoyo a la reactivación (40009427-0)</t>
  </si>
  <si>
    <t>  CORFO- Apoyo al emprendimiento (40009428-0)</t>
  </si>
  <si>
    <t>CORFO - Apoyo a la inversión productiva para la reactivación (40009429-0)</t>
  </si>
  <si>
    <t>SERCOTEC- Jóvenes emprendedores del Maule (40010203-0)</t>
  </si>
  <si>
    <t>Subsecretaría de Energía - Fortalecimiento programa fomento para empresas productoras de leña (40005905-0)</t>
  </si>
  <si>
    <t>Bienes Nacionales - Regularización de título de dominio Chile propietario región del Maule 2019- 2021 (40009180-0)</t>
  </si>
  <si>
    <t>Subsecretaria de Energia - Capacitación en eficiencia energética en el hogar (40005652-0)</t>
  </si>
  <si>
    <t>PROCHILE - lnternalización de productos y servicios exportables del Maule (40010258-0)</t>
  </si>
  <si>
    <t>SERCOTEC - Apoyo a pescadores artesanales del Rio Maule Comuna de Constitución (40012080-0)</t>
  </si>
  <si>
    <t>Subsecretaría del Trabajo – Consolidación del trabajo decente para la región (40009282-0)</t>
  </si>
  <si>
    <t>556</t>
  </si>
  <si>
    <t>IND - Mejoramiento de calidad de la educación física    (40010970-0)</t>
  </si>
  <si>
    <t>Subsecretaría de Minería - Fomento productivo minero (40008604-0)</t>
  </si>
  <si>
    <t>FOSIS- Oportunidades a través del emprendimiento (40013600-0)</t>
  </si>
  <si>
    <t>INDAP- Inversión y producción en rubros de zonas rezagadas  (40010842-0)</t>
  </si>
  <si>
    <t>SERCOTEC - Apoyo a comerciantes centro crece ciudad de Talca  (40010795-0)</t>
  </si>
  <si>
    <t>SAG  - Sostenibilidad de suelo en secanos interior y costero  (40017438-0)</t>
  </si>
  <si>
    <t>INDAP- Rehabilitación productiva pequeños productores de la región  (40017361-0)</t>
  </si>
  <si>
    <t>SENSE - Capacitación pescadores artesanales merluceros de la región (40018202-0)</t>
  </si>
  <si>
    <t>FOSIS - Oportunidades a través del emprendimiento de familias feriantes (40018592-0)</t>
  </si>
  <si>
    <t>SERCOTEC-Asesoría y acceso al financiamiento para empresas y emprendedores, zonas rezagadas Maule Sur (40010372-0)</t>
  </si>
  <si>
    <t>Universidad de Talca-Reducción dee emisiones atmosféricas de mipymes en zonas saturadas (40018931-0)</t>
  </si>
  <si>
    <t>Universidad de Talca-Microdispositivos de alertamiento temprano en residuos químicos (40018932-0)</t>
  </si>
  <si>
    <t>Universidad de Talca-Alimento para aves para producción de huevos más nutritivos (40019178-0)</t>
  </si>
  <si>
    <t>FOSIS - Oportunidades a través del emprendimiento de familias feriantes del Radal (40022203-0)</t>
  </si>
  <si>
    <t>ANID - Fortalecimiento centro de estudios en alimentos procesados (40021385-0)</t>
  </si>
  <si>
    <t>SERCOTEC-Apoyo a las MIPES, re actívate Maule (40022509-0)</t>
  </si>
  <si>
    <t>FOSIS-Oportunidades a través del emprendimiento por la emergencia del COVID-19 (40022657-0)</t>
  </si>
  <si>
    <t>SENCE-Fortalecimiento a la empleabilidad y competencias laborales (40022962-0)</t>
  </si>
  <si>
    <t>SENCE-Apoyo a empleabilidad y competencias laborales en zonas rezagadas (40015785-0)</t>
  </si>
  <si>
    <t>INDAP-Programa integral de riego en la pequeña agricultura de la Región (40017168-0) </t>
  </si>
  <si>
    <t>FOSIS - Impulsando el crecimiento en las zonas rezagadas (40010596-0)</t>
  </si>
  <si>
    <t>PROCHILE -  Fortalecimiento de las capacidades exportadoras de empresas en zonas rezagadas (40012785-0)</t>
  </si>
  <si>
    <t>CORFO - Apoyó a la inversión (40015776-0)</t>
  </si>
  <si>
    <t>SERCOTEC - Apoyo reactivate turismo (40025455-0) </t>
  </si>
  <si>
    <t>Universidad de Talca - Centro de estudios para el envejecimiento activo (C2ea) (40027630)</t>
  </si>
  <si>
    <t>Universidad de Talca - Herramienta multiplataforma para la prevención en salud mental (40027682-0)</t>
  </si>
  <si>
    <t>Universidad de Talca - Smart mesck, tecnología para enfermedades prevalentes (40027631-0)</t>
  </si>
  <si>
    <t>Universidad de Talca - Portafolio de servicios biotecnológicos para la salud (40027577-0)</t>
  </si>
  <si>
    <t>Universidad de Talca - Polo tecnológico alimentario (40027625-0)</t>
  </si>
  <si>
    <t>SERCOTEC - Jóvenes emprendedores del Maule 2021 -2022  (40026981-0)</t>
  </si>
  <si>
    <t xml:space="preserve"> SERNAMEG - Centro de prevención y atención VCM comunas de Pencahue -Curepto (40026632-0)</t>
  </si>
  <si>
    <t>SERNAMEG - Intervención focalizada en VCM  comunas de Hualañé, Licantén y Vichuquén (40028500-0)</t>
  </si>
  <si>
    <t xml:space="preserve"> CORFO - Fomento a la calidad - focal (40030055-0)</t>
  </si>
  <si>
    <t xml:space="preserve"> Subsecretaria de Medio Ambiente -Recambio de calefactores  (40023793-0)</t>
  </si>
  <si>
    <t>FOSIS - Oportunidades a personas afectadas por la pandemia en la Región – (40031045-0)</t>
  </si>
  <si>
    <t>SUBTEL – Fondo de desarrollo  de las telecomunicaciones fibra óptica Maule – (40031371-0)</t>
  </si>
  <si>
    <t>SERNAMEG -  Fortalecimiento a los negocios liderados por mujeres jefas de hogar – (40026511-0)</t>
  </si>
  <si>
    <t>INDESPA – Fomento productivo en pesca y acuicultura Maule – (40030489-0)</t>
  </si>
  <si>
    <t>SERCOTEC – Emprendimiento regional, Crece Maule (40027326-0)</t>
  </si>
  <si>
    <t>INDAP -  Reconversión y/o diversificación en la pequeña agricultura (40017167-0)</t>
  </si>
  <si>
    <t>999</t>
  </si>
  <si>
    <t>Provisión FIC (Sin Distribuir)</t>
  </si>
  <si>
    <t>34</t>
  </si>
  <si>
    <t>SERVICIO DE LA DEUDA</t>
  </si>
  <si>
    <t>Deuda Flotante</t>
  </si>
  <si>
    <t>35</t>
  </si>
  <si>
    <t>SALDO FINAL DE CAJA</t>
  </si>
  <si>
    <t>GASTO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</si>
</sst>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#,##0_ ;\-#,##0\ "/>
    <numFmt numFmtId="165" formatCode="dd/mm/yy;@"/>
    <numFmt numFmtId="166" formatCode="_-* #,##0.00_-;\-* #,##0.00_-;_-* &quot;-&quot;??_-;_-@_-"/>
    <numFmt numFmtId="167" formatCode="_-* #,##0_-;\-* #,##0_-;_-* &quot;-&quot;??_-;_-@_-"/>
    <numFmt numFmtId="168" formatCode="#,##0_ ;[Red]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4" fillId="0" borderId="0"/>
    <xf numFmtId="0" fontId="1" fillId="0" borderId="0"/>
    <xf numFmtId="166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331">
    <xf numFmtId="0" fontId="0" fillId="0" borderId="0" xfId="0"/>
    <xf numFmtId="0" fontId="2" fillId="0" borderId="0" xfId="1"/>
    <xf numFmtId="3" fontId="2" fillId="2" borderId="0" xfId="1" applyNumberFormat="1" applyFill="1"/>
    <xf numFmtId="164" fontId="2" fillId="0" borderId="0" xfId="1" applyNumberFormat="1"/>
    <xf numFmtId="41" fontId="0" fillId="0" borderId="0" xfId="2" applyFont="1"/>
    <xf numFmtId="3" fontId="2" fillId="0" borderId="0" xfId="1" applyNumberFormat="1"/>
    <xf numFmtId="3" fontId="2" fillId="0" borderId="0" xfId="1" applyNumberFormat="1" applyAlignment="1">
      <alignment horizontal="center"/>
    </xf>
    <xf numFmtId="3" fontId="3" fillId="0" borderId="0" xfId="1" applyNumberFormat="1" applyFont="1"/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3" fontId="3" fillId="0" borderId="0" xfId="1" applyNumberFormat="1" applyFont="1" applyAlignment="1">
      <alignment horizontal="center"/>
    </xf>
    <xf numFmtId="0" fontId="2" fillId="0" borderId="0" xfId="1" applyAlignment="1">
      <alignment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41" fontId="0" fillId="0" borderId="0" xfId="2" applyFont="1" applyAlignment="1">
      <alignment vertical="center" wrapText="1"/>
    </xf>
    <xf numFmtId="3" fontId="2" fillId="0" borderId="0" xfId="1" applyNumberFormat="1" applyAlignment="1">
      <alignment horizontal="center" vertical="center" wrapText="1"/>
    </xf>
    <xf numFmtId="3" fontId="2" fillId="0" borderId="0" xfId="1" applyNumberFormat="1" applyAlignment="1">
      <alignment vertical="center" wrapText="1"/>
    </xf>
    <xf numFmtId="3" fontId="3" fillId="0" borderId="0" xfId="1" applyNumberFormat="1" applyFont="1" applyAlignment="1">
      <alignment vertical="center" wrapText="1"/>
    </xf>
    <xf numFmtId="0" fontId="5" fillId="0" borderId="0" xfId="3" applyFont="1" applyAlignment="1">
      <alignment vertical="center" wrapText="1"/>
    </xf>
    <xf numFmtId="0" fontId="6" fillId="0" borderId="0" xfId="3" applyFont="1" applyAlignment="1">
      <alignment vertical="center"/>
    </xf>
    <xf numFmtId="0" fontId="7" fillId="0" borderId="0" xfId="3" applyFont="1" applyAlignment="1">
      <alignment horizontal="right" vertical="center" wrapText="1"/>
    </xf>
    <xf numFmtId="165" fontId="1" fillId="0" borderId="0" xfId="4" applyNumberFormat="1" applyAlignment="1">
      <alignment horizontal="center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165" fontId="9" fillId="0" borderId="6" xfId="4" applyNumberFormat="1" applyFont="1" applyBorder="1" applyAlignment="1">
      <alignment horizontal="center"/>
    </xf>
    <xf numFmtId="165" fontId="9" fillId="0" borderId="7" xfId="4" applyNumberFormat="1" applyFont="1" applyBorder="1" applyAlignment="1">
      <alignment horizontal="center"/>
    </xf>
    <xf numFmtId="165" fontId="9" fillId="0" borderId="8" xfId="4" applyNumberFormat="1" applyFont="1" applyBorder="1" applyAlignment="1">
      <alignment horizontal="center"/>
    </xf>
    <xf numFmtId="165" fontId="9" fillId="0" borderId="9" xfId="4" applyNumberFormat="1" applyFont="1" applyBorder="1" applyAlignment="1">
      <alignment horizontal="center"/>
    </xf>
    <xf numFmtId="3" fontId="1" fillId="0" borderId="0" xfId="4" applyNumberFormat="1" applyAlignment="1">
      <alignment horizontal="center"/>
    </xf>
    <xf numFmtId="0" fontId="1" fillId="0" borderId="0" xfId="4"/>
    <xf numFmtId="167" fontId="6" fillId="0" borderId="0" xfId="5" applyNumberFormat="1" applyFont="1" applyFill="1" applyAlignment="1">
      <alignment vertical="center"/>
    </xf>
    <xf numFmtId="168" fontId="6" fillId="0" borderId="0" xfId="6" applyNumberFormat="1" applyFont="1" applyAlignment="1">
      <alignment vertical="center"/>
    </xf>
    <xf numFmtId="41" fontId="6" fillId="0" borderId="0" xfId="2" applyFont="1" applyFill="1" applyAlignment="1">
      <alignment vertical="center"/>
    </xf>
    <xf numFmtId="168" fontId="6" fillId="0" borderId="0" xfId="5" applyNumberFormat="1" applyFont="1" applyFill="1" applyAlignment="1">
      <alignment vertical="center"/>
    </xf>
    <xf numFmtId="168" fontId="6" fillId="0" borderId="0" xfId="2" applyNumberFormat="1" applyFont="1" applyFill="1" applyAlignment="1">
      <alignment vertical="center"/>
    </xf>
    <xf numFmtId="168" fontId="5" fillId="0" borderId="0" xfId="5" applyNumberFormat="1" applyFont="1" applyFill="1" applyAlignment="1">
      <alignment vertical="center" wrapText="1"/>
    </xf>
    <xf numFmtId="0" fontId="8" fillId="0" borderId="0" xfId="3" applyFont="1" applyAlignment="1">
      <alignment vertical="center" wrapText="1"/>
    </xf>
    <xf numFmtId="3" fontId="5" fillId="0" borderId="0" xfId="3" applyNumberFormat="1" applyFont="1" applyAlignment="1">
      <alignment vertical="center" wrapText="1"/>
    </xf>
    <xf numFmtId="3" fontId="10" fillId="0" borderId="0" xfId="3" applyNumberFormat="1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165" fontId="8" fillId="0" borderId="0" xfId="5" applyNumberFormat="1" applyFont="1" applyFill="1" applyAlignment="1">
      <alignment horizontal="center" vertical="center" wrapText="1"/>
    </xf>
    <xf numFmtId="165" fontId="8" fillId="5" borderId="10" xfId="2" applyNumberFormat="1" applyFont="1" applyFill="1" applyBorder="1" applyAlignment="1">
      <alignment horizontal="center" vertical="center" wrapText="1"/>
    </xf>
    <xf numFmtId="165" fontId="8" fillId="5" borderId="11" xfId="2" applyNumberFormat="1" applyFont="1" applyFill="1" applyBorder="1" applyAlignment="1">
      <alignment horizontal="center" vertical="center" wrapText="1"/>
    </xf>
    <xf numFmtId="165" fontId="8" fillId="5" borderId="12" xfId="2" applyNumberFormat="1" applyFont="1" applyFill="1" applyBorder="1" applyAlignment="1">
      <alignment horizontal="center" vertical="center" wrapText="1"/>
    </xf>
    <xf numFmtId="165" fontId="8" fillId="0" borderId="13" xfId="2" applyNumberFormat="1" applyFont="1" applyFill="1" applyBorder="1" applyAlignment="1">
      <alignment horizontal="center" vertical="center" wrapText="1"/>
    </xf>
    <xf numFmtId="167" fontId="7" fillId="0" borderId="0" xfId="7" applyNumberFormat="1" applyFont="1" applyFill="1" applyAlignment="1">
      <alignment horizontal="center" vertical="center" wrapText="1"/>
    </xf>
    <xf numFmtId="168" fontId="6" fillId="0" borderId="14" xfId="8" applyNumberFormat="1" applyFont="1" applyBorder="1" applyAlignment="1">
      <alignment horizontal="center"/>
    </xf>
    <xf numFmtId="168" fontId="7" fillId="0" borderId="0" xfId="5" applyNumberFormat="1" applyFont="1" applyFill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3" fontId="7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8" fillId="6" borderId="15" xfId="3" applyFont="1" applyFill="1" applyBorder="1" applyAlignment="1">
      <alignment horizontal="center" vertical="center" wrapText="1"/>
    </xf>
    <xf numFmtId="0" fontId="6" fillId="3" borderId="16" xfId="6" applyFont="1" applyFill="1" applyBorder="1" applyAlignment="1">
      <alignment horizontal="center" vertical="center" wrapText="1"/>
    </xf>
    <xf numFmtId="164" fontId="6" fillId="3" borderId="0" xfId="6" applyNumberFormat="1" applyFont="1" applyFill="1" applyAlignment="1">
      <alignment horizontal="center" vertical="center" wrapText="1"/>
    </xf>
    <xf numFmtId="0" fontId="6" fillId="7" borderId="16" xfId="6" applyFont="1" applyFill="1" applyBorder="1" applyAlignment="1">
      <alignment horizontal="center" vertical="center" wrapText="1"/>
    </xf>
    <xf numFmtId="0" fontId="6" fillId="3" borderId="0" xfId="6" applyFont="1" applyFill="1" applyAlignment="1">
      <alignment horizontal="center" vertical="center" wrapText="1"/>
    </xf>
    <xf numFmtId="0" fontId="10" fillId="3" borderId="0" xfId="6" applyFont="1" applyFill="1" applyAlignment="1">
      <alignment horizontal="center" vertical="center" wrapText="1"/>
    </xf>
    <xf numFmtId="0" fontId="10" fillId="3" borderId="16" xfId="6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center" vertical="center" wrapText="1"/>
    </xf>
    <xf numFmtId="0" fontId="10" fillId="3" borderId="4" xfId="6" applyFont="1" applyFill="1" applyBorder="1" applyAlignment="1">
      <alignment horizontal="center" vertical="center" wrapText="1"/>
    </xf>
    <xf numFmtId="0" fontId="10" fillId="3" borderId="17" xfId="6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horizontal="center" vertical="center" wrapText="1"/>
    </xf>
    <xf numFmtId="168" fontId="6" fillId="3" borderId="4" xfId="6" applyNumberFormat="1" applyFont="1" applyFill="1" applyBorder="1" applyAlignment="1">
      <alignment horizontal="center" vertical="center" wrapText="1"/>
    </xf>
    <xf numFmtId="168" fontId="6" fillId="6" borderId="4" xfId="6" applyNumberFormat="1" applyFont="1" applyFill="1" applyBorder="1" applyAlignment="1">
      <alignment horizontal="center" vertical="center" wrapText="1"/>
    </xf>
    <xf numFmtId="167" fontId="6" fillId="0" borderId="0" xfId="7" applyNumberFormat="1" applyFont="1" applyFill="1" applyBorder="1" applyAlignment="1">
      <alignment horizontal="center" vertical="center" wrapText="1"/>
    </xf>
    <xf numFmtId="168" fontId="6" fillId="6" borderId="19" xfId="3" applyNumberFormat="1" applyFont="1" applyFill="1" applyBorder="1" applyAlignment="1">
      <alignment horizontal="center" vertical="center" wrapText="1"/>
    </xf>
    <xf numFmtId="168" fontId="6" fillId="2" borderId="14" xfId="3" applyNumberFormat="1" applyFont="1" applyFill="1" applyBorder="1" applyAlignment="1">
      <alignment horizontal="center" vertical="center" wrapText="1"/>
    </xf>
    <xf numFmtId="168" fontId="6" fillId="0" borderId="19" xfId="3" applyNumberFormat="1" applyFont="1" applyBorder="1" applyAlignment="1">
      <alignment horizontal="center" vertical="center" wrapText="1"/>
    </xf>
    <xf numFmtId="168" fontId="8" fillId="6" borderId="4" xfId="5" applyNumberFormat="1" applyFont="1" applyFill="1" applyBorder="1" applyAlignment="1">
      <alignment horizontal="center" vertical="center" wrapText="1"/>
    </xf>
    <xf numFmtId="168" fontId="6" fillId="0" borderId="0" xfId="3" applyNumberFormat="1" applyFont="1" applyAlignment="1">
      <alignment vertical="center" wrapText="1"/>
    </xf>
    <xf numFmtId="0" fontId="8" fillId="6" borderId="20" xfId="3" applyFont="1" applyFill="1" applyBorder="1" applyAlignment="1">
      <alignment horizontal="center" vertical="center" wrapText="1"/>
    </xf>
    <xf numFmtId="0" fontId="8" fillId="6" borderId="16" xfId="6" quotePrefix="1" applyFont="1" applyFill="1" applyBorder="1" applyAlignment="1">
      <alignment horizontal="center" vertical="center" wrapText="1"/>
    </xf>
    <xf numFmtId="164" fontId="8" fillId="6" borderId="0" xfId="6" quotePrefix="1" applyNumberFormat="1" applyFont="1" applyFill="1" applyAlignment="1">
      <alignment horizontal="center" vertical="center" wrapText="1"/>
    </xf>
    <xf numFmtId="0" fontId="8" fillId="7" borderId="16" xfId="6" quotePrefix="1" applyFont="1" applyFill="1" applyBorder="1" applyAlignment="1">
      <alignment horizontal="center" vertical="center" wrapText="1"/>
    </xf>
    <xf numFmtId="0" fontId="8" fillId="6" borderId="0" xfId="6" quotePrefix="1" applyFont="1" applyFill="1" applyAlignment="1">
      <alignment horizontal="center" vertical="center" wrapText="1"/>
    </xf>
    <xf numFmtId="0" fontId="8" fillId="6" borderId="0" xfId="6" applyFont="1" applyFill="1" applyAlignment="1">
      <alignment horizontal="center" vertical="center" wrapText="1"/>
    </xf>
    <xf numFmtId="0" fontId="6" fillId="6" borderId="21" xfId="6" applyFont="1" applyFill="1" applyBorder="1" applyAlignment="1">
      <alignment horizontal="center" vertical="center" wrapText="1"/>
    </xf>
    <xf numFmtId="0" fontId="8" fillId="6" borderId="17" xfId="6" quotePrefix="1" applyFont="1" applyFill="1" applyBorder="1" applyAlignment="1">
      <alignment horizontal="center" vertical="center" wrapText="1"/>
    </xf>
    <xf numFmtId="0" fontId="6" fillId="0" borderId="22" xfId="6" applyFont="1" applyBorder="1" applyAlignment="1">
      <alignment horizontal="center" vertical="center" wrapText="1"/>
    </xf>
    <xf numFmtId="168" fontId="6" fillId="3" borderId="16" xfId="6" applyNumberFormat="1" applyFont="1" applyFill="1" applyBorder="1" applyAlignment="1">
      <alignment horizontal="center" vertical="center" wrapText="1"/>
    </xf>
    <xf numFmtId="168" fontId="6" fillId="6" borderId="16" xfId="6" applyNumberFormat="1" applyFont="1" applyFill="1" applyBorder="1" applyAlignment="1">
      <alignment horizontal="center" vertical="center" wrapText="1"/>
    </xf>
    <xf numFmtId="167" fontId="8" fillId="0" borderId="0" xfId="7" applyNumberFormat="1" applyFont="1" applyFill="1" applyBorder="1" applyAlignment="1">
      <alignment horizontal="center" vertical="center" wrapText="1"/>
    </xf>
    <xf numFmtId="168" fontId="6" fillId="2" borderId="23" xfId="3" applyNumberFormat="1" applyFont="1" applyFill="1" applyBorder="1" applyAlignment="1">
      <alignment horizontal="center" vertical="center" wrapText="1"/>
    </xf>
    <xf numFmtId="168" fontId="8" fillId="6" borderId="16" xfId="5" applyNumberFormat="1" applyFont="1" applyFill="1" applyBorder="1" applyAlignment="1">
      <alignment horizontal="center" vertical="center" wrapText="1"/>
    </xf>
    <xf numFmtId="168" fontId="8" fillId="0" borderId="0" xfId="3" applyNumberFormat="1" applyFont="1" applyAlignment="1">
      <alignment vertical="center" wrapText="1"/>
    </xf>
    <xf numFmtId="0" fontId="10" fillId="0" borderId="0" xfId="6" applyFont="1" applyAlignment="1">
      <alignment horizontal="left" vertical="center" wrapText="1"/>
    </xf>
    <xf numFmtId="16" fontId="8" fillId="6" borderId="16" xfId="6" applyNumberFormat="1" applyFont="1" applyFill="1" applyBorder="1" applyAlignment="1">
      <alignment horizontal="center" vertical="center" wrapText="1"/>
    </xf>
    <xf numFmtId="0" fontId="8" fillId="6" borderId="16" xfId="6" applyFont="1" applyFill="1" applyBorder="1" applyAlignment="1">
      <alignment horizontal="center" vertical="center" wrapText="1"/>
    </xf>
    <xf numFmtId="164" fontId="8" fillId="6" borderId="0" xfId="6" applyNumberFormat="1" applyFont="1" applyFill="1" applyAlignment="1">
      <alignment horizontal="center" vertical="center" wrapText="1"/>
    </xf>
    <xf numFmtId="0" fontId="8" fillId="7" borderId="16" xfId="6" applyFont="1" applyFill="1" applyBorder="1" applyAlignment="1">
      <alignment horizontal="center" vertical="center" wrapText="1"/>
    </xf>
    <xf numFmtId="0" fontId="6" fillId="6" borderId="4" xfId="6" applyFont="1" applyFill="1" applyBorder="1" applyAlignment="1">
      <alignment vertical="center" wrapText="1"/>
    </xf>
    <xf numFmtId="0" fontId="8" fillId="6" borderId="17" xfId="6" applyFont="1" applyFill="1" applyBorder="1" applyAlignment="1">
      <alignment horizontal="center" vertical="center" wrapText="1"/>
    </xf>
    <xf numFmtId="0" fontId="6" fillId="5" borderId="18" xfId="6" applyFont="1" applyFill="1" applyBorder="1" applyAlignment="1">
      <alignment vertical="center" wrapText="1"/>
    </xf>
    <xf numFmtId="168" fontId="2" fillId="0" borderId="0" xfId="1" applyNumberFormat="1"/>
    <xf numFmtId="167" fontId="11" fillId="0" borderId="0" xfId="7" applyNumberFormat="1" applyFont="1" applyFill="1" applyBorder="1" applyAlignment="1">
      <alignment horizontal="center" vertical="center" wrapText="1"/>
    </xf>
    <xf numFmtId="168" fontId="11" fillId="0" borderId="0" xfId="3" applyNumberFormat="1" applyFont="1" applyAlignment="1">
      <alignment vertical="center" wrapText="1"/>
    </xf>
    <xf numFmtId="3" fontId="11" fillId="0" borderId="0" xfId="3" applyNumberFormat="1" applyFont="1" applyAlignment="1">
      <alignment vertical="center" wrapText="1"/>
    </xf>
    <xf numFmtId="0" fontId="11" fillId="0" borderId="0" xfId="3" applyFont="1" applyAlignment="1">
      <alignment vertical="center" wrapText="1"/>
    </xf>
    <xf numFmtId="0" fontId="8" fillId="6" borderId="24" xfId="3" applyFont="1" applyFill="1" applyBorder="1" applyAlignment="1">
      <alignment horizontal="center" vertical="center" wrapText="1"/>
    </xf>
    <xf numFmtId="0" fontId="6" fillId="8" borderId="21" xfId="6" applyFont="1" applyFill="1" applyBorder="1" applyAlignment="1">
      <alignment horizontal="center" vertical="center" wrapText="1"/>
    </xf>
    <xf numFmtId="0" fontId="8" fillId="6" borderId="25" xfId="3" applyFont="1" applyFill="1" applyBorder="1" applyAlignment="1">
      <alignment horizontal="center" vertical="center" wrapText="1"/>
    </xf>
    <xf numFmtId="164" fontId="8" fillId="6" borderId="26" xfId="3" applyNumberFormat="1" applyFont="1" applyFill="1" applyBorder="1" applyAlignment="1">
      <alignment horizontal="center" vertical="center" wrapText="1"/>
    </xf>
    <xf numFmtId="0" fontId="8" fillId="7" borderId="25" xfId="3" applyFont="1" applyFill="1" applyBorder="1" applyAlignment="1">
      <alignment horizontal="center" vertical="center" wrapText="1"/>
    </xf>
    <xf numFmtId="0" fontId="8" fillId="6" borderId="26" xfId="3" applyFont="1" applyFill="1" applyBorder="1" applyAlignment="1">
      <alignment horizontal="center" vertical="center" wrapText="1"/>
    </xf>
    <xf numFmtId="0" fontId="8" fillId="6" borderId="26" xfId="6" applyFont="1" applyFill="1" applyBorder="1" applyAlignment="1">
      <alignment horizontal="center" vertical="center" wrapText="1"/>
    </xf>
    <xf numFmtId="0" fontId="6" fillId="6" borderId="25" xfId="6" applyFont="1" applyFill="1" applyBorder="1" applyAlignment="1">
      <alignment horizontal="center" vertical="center" wrapText="1"/>
    </xf>
    <xf numFmtId="0" fontId="8" fillId="6" borderId="27" xfId="3" applyFont="1" applyFill="1" applyBorder="1" applyAlignment="1">
      <alignment horizontal="center" vertical="center" wrapText="1"/>
    </xf>
    <xf numFmtId="0" fontId="8" fillId="0" borderId="28" xfId="6" applyFont="1" applyBorder="1" applyAlignment="1">
      <alignment horizontal="center" vertical="center" wrapText="1"/>
    </xf>
    <xf numFmtId="168" fontId="6" fillId="3" borderId="25" xfId="6" applyNumberFormat="1" applyFont="1" applyFill="1" applyBorder="1" applyAlignment="1">
      <alignment horizontal="center" vertical="center" wrapText="1"/>
    </xf>
    <xf numFmtId="168" fontId="6" fillId="6" borderId="25" xfId="6" applyNumberFormat="1" applyFont="1" applyFill="1" applyBorder="1" applyAlignment="1">
      <alignment horizontal="center" vertical="center" wrapText="1"/>
    </xf>
    <xf numFmtId="168" fontId="6" fillId="2" borderId="29" xfId="3" applyNumberFormat="1" applyFont="1" applyFill="1" applyBorder="1" applyAlignment="1">
      <alignment horizontal="center" vertical="center" wrapText="1"/>
    </xf>
    <xf numFmtId="0" fontId="12" fillId="0" borderId="30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wrapText="1"/>
    </xf>
    <xf numFmtId="0" fontId="13" fillId="0" borderId="0" xfId="3" applyFont="1" applyAlignment="1">
      <alignment vertical="center" wrapText="1"/>
    </xf>
    <xf numFmtId="0" fontId="13" fillId="6" borderId="24" xfId="3" quotePrefix="1" applyFont="1" applyFill="1" applyBorder="1" applyAlignment="1">
      <alignment vertical="center" wrapText="1"/>
    </xf>
    <xf numFmtId="0" fontId="14" fillId="0" borderId="27" xfId="6" applyFont="1" applyBorder="1" applyAlignment="1">
      <alignment horizontal="center" vertical="center" wrapText="1"/>
    </xf>
    <xf numFmtId="0" fontId="14" fillId="0" borderId="25" xfId="6" applyFont="1" applyBorder="1" applyAlignment="1">
      <alignment horizontal="center" vertical="center" wrapText="1"/>
    </xf>
    <xf numFmtId="164" fontId="6" fillId="6" borderId="26" xfId="6" applyNumberFormat="1" applyFont="1" applyFill="1" applyBorder="1" applyAlignment="1">
      <alignment horizontal="center" vertical="center" wrapText="1"/>
    </xf>
    <xf numFmtId="0" fontId="6" fillId="7" borderId="25" xfId="6" applyFont="1" applyFill="1" applyBorder="1" applyAlignment="1">
      <alignment horizontal="center" vertical="center" wrapText="1"/>
    </xf>
    <xf numFmtId="0" fontId="14" fillId="6" borderId="26" xfId="6" applyFont="1" applyFill="1" applyBorder="1" applyAlignment="1">
      <alignment horizontal="center" vertical="center" wrapText="1"/>
    </xf>
    <xf numFmtId="164" fontId="14" fillId="6" borderId="25" xfId="6" applyNumberFormat="1" applyFont="1" applyFill="1" applyBorder="1" applyAlignment="1">
      <alignment horizontal="center" vertical="center" wrapText="1"/>
    </xf>
    <xf numFmtId="0" fontId="14" fillId="6" borderId="25" xfId="6" applyFont="1" applyFill="1" applyBorder="1" applyAlignment="1">
      <alignment horizontal="center" vertical="center" wrapText="1"/>
    </xf>
    <xf numFmtId="0" fontId="14" fillId="0" borderId="26" xfId="6" applyFont="1" applyBorder="1" applyAlignment="1">
      <alignment horizontal="center" vertical="center" wrapText="1"/>
    </xf>
    <xf numFmtId="0" fontId="14" fillId="0" borderId="16" xfId="6" applyFont="1" applyBorder="1" applyAlignment="1">
      <alignment horizontal="center" vertical="center" wrapText="1"/>
    </xf>
    <xf numFmtId="0" fontId="14" fillId="0" borderId="0" xfId="6" applyFont="1" applyAlignment="1">
      <alignment horizontal="center" vertical="center" wrapText="1"/>
    </xf>
    <xf numFmtId="168" fontId="13" fillId="3" borderId="16" xfId="3" quotePrefix="1" applyNumberFormat="1" applyFont="1" applyFill="1" applyBorder="1" applyAlignment="1">
      <alignment vertical="center" wrapText="1"/>
    </xf>
    <xf numFmtId="168" fontId="13" fillId="6" borderId="32" xfId="3" quotePrefix="1" applyNumberFormat="1" applyFont="1" applyFill="1" applyBorder="1" applyAlignment="1">
      <alignment vertical="center" wrapText="1"/>
    </xf>
    <xf numFmtId="167" fontId="13" fillId="0" borderId="0" xfId="7" quotePrefix="1" applyNumberFormat="1" applyFont="1" applyFill="1" applyBorder="1" applyAlignment="1">
      <alignment vertical="center" wrapText="1"/>
    </xf>
    <xf numFmtId="168" fontId="13" fillId="0" borderId="14" xfId="6" applyNumberFormat="1" applyFont="1" applyBorder="1" applyAlignment="1">
      <alignment horizontal="center" vertical="center" wrapText="1"/>
    </xf>
    <xf numFmtId="168" fontId="14" fillId="0" borderId="14" xfId="6" applyNumberFormat="1" applyFont="1" applyBorder="1" applyAlignment="1">
      <alignment horizontal="center" vertical="center" wrapText="1"/>
    </xf>
    <xf numFmtId="168" fontId="14" fillId="0" borderId="33" xfId="2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6" fillId="6" borderId="30" xfId="3" applyFont="1" applyFill="1" applyBorder="1" applyAlignment="1">
      <alignment horizontal="center" vertical="center" wrapText="1"/>
    </xf>
    <xf numFmtId="0" fontId="6" fillId="6" borderId="21" xfId="3" applyFont="1" applyFill="1" applyBorder="1" applyAlignment="1">
      <alignment horizontal="center" vertical="center" wrapText="1"/>
    </xf>
    <xf numFmtId="0" fontId="6" fillId="6" borderId="34" xfId="3" applyFont="1" applyFill="1" applyBorder="1" applyAlignment="1">
      <alignment vertical="center" wrapText="1"/>
    </xf>
    <xf numFmtId="3" fontId="6" fillId="6" borderId="34" xfId="3" applyNumberFormat="1" applyFont="1" applyFill="1" applyBorder="1" applyAlignment="1">
      <alignment vertical="center" wrapText="1"/>
    </xf>
    <xf numFmtId="3" fontId="6" fillId="6" borderId="35" xfId="3" applyNumberFormat="1" applyFont="1" applyFill="1" applyBorder="1" applyAlignment="1">
      <alignment vertical="center" wrapText="1"/>
    </xf>
    <xf numFmtId="3" fontId="6" fillId="6" borderId="21" xfId="3" applyNumberFormat="1" applyFont="1" applyFill="1" applyBorder="1" applyAlignment="1">
      <alignment vertical="center" wrapText="1"/>
    </xf>
    <xf numFmtId="164" fontId="6" fillId="6" borderId="36" xfId="3" applyNumberFormat="1" applyFont="1" applyFill="1" applyBorder="1" applyAlignment="1">
      <alignment vertical="center" wrapText="1"/>
    </xf>
    <xf numFmtId="3" fontId="6" fillId="6" borderId="36" xfId="3" applyNumberFormat="1" applyFont="1" applyFill="1" applyBorder="1" applyAlignment="1">
      <alignment vertical="center" wrapText="1"/>
    </xf>
    <xf numFmtId="168" fontId="6" fillId="3" borderId="21" xfId="6" applyNumberFormat="1" applyFont="1" applyFill="1" applyBorder="1" applyAlignment="1">
      <alignment vertical="center" wrapText="1"/>
    </xf>
    <xf numFmtId="168" fontId="6" fillId="6" borderId="31" xfId="6" applyNumberFormat="1" applyFont="1" applyFill="1" applyBorder="1" applyAlignment="1">
      <alignment vertical="center" wrapText="1"/>
    </xf>
    <xf numFmtId="3" fontId="6" fillId="0" borderId="0" xfId="6" applyNumberFormat="1" applyFont="1" applyAlignment="1">
      <alignment vertical="center" wrapText="1"/>
    </xf>
    <xf numFmtId="168" fontId="6" fillId="6" borderId="37" xfId="3" applyNumberFormat="1" applyFont="1" applyFill="1" applyBorder="1" applyAlignment="1">
      <alignment vertical="center" wrapText="1"/>
    </xf>
    <xf numFmtId="168" fontId="6" fillId="6" borderId="34" xfId="3" applyNumberFormat="1" applyFont="1" applyFill="1" applyBorder="1" applyAlignment="1">
      <alignment vertical="center" wrapText="1"/>
    </xf>
    <xf numFmtId="168" fontId="6" fillId="6" borderId="35" xfId="2" applyNumberFormat="1" applyFont="1" applyFill="1" applyBorder="1" applyAlignment="1">
      <alignment vertical="center" wrapText="1"/>
    </xf>
    <xf numFmtId="168" fontId="6" fillId="6" borderId="21" xfId="3" applyNumberFormat="1" applyFont="1" applyFill="1" applyBorder="1" applyAlignment="1">
      <alignment vertical="center" wrapText="1"/>
    </xf>
    <xf numFmtId="167" fontId="6" fillId="6" borderId="31" xfId="5" applyNumberFormat="1" applyFont="1" applyFill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6" fillId="0" borderId="38" xfId="6" quotePrefix="1" applyFont="1" applyBorder="1" applyAlignment="1">
      <alignment horizontal="center" vertical="center" wrapText="1"/>
    </xf>
    <xf numFmtId="0" fontId="6" fillId="0" borderId="38" xfId="6" applyFont="1" applyBorder="1" applyAlignment="1">
      <alignment horizontal="center" vertical="center" wrapText="1"/>
    </xf>
    <xf numFmtId="0" fontId="6" fillId="0" borderId="38" xfId="6" applyFont="1" applyBorder="1" applyAlignment="1">
      <alignment vertical="center" wrapText="1"/>
    </xf>
    <xf numFmtId="3" fontId="6" fillId="0" borderId="38" xfId="3" applyNumberFormat="1" applyFont="1" applyBorder="1" applyAlignment="1">
      <alignment vertical="center" wrapText="1"/>
    </xf>
    <xf numFmtId="3" fontId="6" fillId="0" borderId="39" xfId="3" applyNumberFormat="1" applyFont="1" applyBorder="1" applyAlignment="1">
      <alignment vertical="center" wrapText="1"/>
    </xf>
    <xf numFmtId="3" fontId="6" fillId="0" borderId="40" xfId="3" applyNumberFormat="1" applyFont="1" applyBorder="1" applyAlignment="1">
      <alignment vertical="center" wrapText="1"/>
    </xf>
    <xf numFmtId="164" fontId="6" fillId="0" borderId="41" xfId="3" applyNumberFormat="1" applyFont="1" applyBorder="1" applyAlignment="1">
      <alignment vertical="center" wrapText="1"/>
    </xf>
    <xf numFmtId="3" fontId="6" fillId="0" borderId="41" xfId="3" applyNumberFormat="1" applyFont="1" applyBorder="1" applyAlignment="1">
      <alignment vertical="center" wrapText="1"/>
    </xf>
    <xf numFmtId="168" fontId="8" fillId="3" borderId="40" xfId="6" applyNumberFormat="1" applyFont="1" applyFill="1" applyBorder="1" applyAlignment="1">
      <alignment vertical="center" wrapText="1"/>
    </xf>
    <xf numFmtId="168" fontId="8" fillId="6" borderId="42" xfId="6" applyNumberFormat="1" applyFont="1" applyFill="1" applyBorder="1" applyAlignment="1">
      <alignment vertical="center" wrapText="1"/>
    </xf>
    <xf numFmtId="168" fontId="6" fillId="0" borderId="39" xfId="2" applyNumberFormat="1" applyFont="1" applyFill="1" applyBorder="1" applyAlignment="1">
      <alignment vertical="center" wrapText="1"/>
    </xf>
    <xf numFmtId="3" fontId="6" fillId="6" borderId="40" xfId="3" applyNumberFormat="1" applyFont="1" applyFill="1" applyBorder="1" applyAlignment="1">
      <alignment vertical="center" wrapText="1"/>
    </xf>
    <xf numFmtId="167" fontId="6" fillId="0" borderId="0" xfId="3" applyNumberFormat="1" applyFont="1" applyAlignment="1">
      <alignment vertical="center" wrapText="1"/>
    </xf>
    <xf numFmtId="0" fontId="5" fillId="0" borderId="38" xfId="3" applyFont="1" applyBorder="1" applyAlignment="1">
      <alignment vertical="center" wrapText="1"/>
    </xf>
    <xf numFmtId="0" fontId="8" fillId="0" borderId="38" xfId="6" applyFont="1" applyBorder="1" applyAlignment="1">
      <alignment vertical="center" wrapText="1"/>
    </xf>
    <xf numFmtId="0" fontId="8" fillId="0" borderId="38" xfId="6" quotePrefix="1" applyFont="1" applyBorder="1" applyAlignment="1">
      <alignment horizontal="center" vertical="center" wrapText="1"/>
    </xf>
    <xf numFmtId="3" fontId="8" fillId="0" borderId="38" xfId="3" applyNumberFormat="1" applyFont="1" applyBorder="1" applyAlignment="1">
      <alignment vertical="center" wrapText="1"/>
    </xf>
    <xf numFmtId="3" fontId="8" fillId="0" borderId="39" xfId="3" applyNumberFormat="1" applyFont="1" applyBorder="1" applyAlignment="1">
      <alignment vertical="center" wrapText="1"/>
    </xf>
    <xf numFmtId="3" fontId="8" fillId="0" borderId="40" xfId="3" applyNumberFormat="1" applyFont="1" applyBorder="1" applyAlignment="1">
      <alignment vertical="center" wrapText="1"/>
    </xf>
    <xf numFmtId="164" fontId="8" fillId="0" borderId="41" xfId="3" applyNumberFormat="1" applyFont="1" applyBorder="1" applyAlignment="1">
      <alignment vertical="center" wrapText="1"/>
    </xf>
    <xf numFmtId="3" fontId="8" fillId="0" borderId="41" xfId="3" applyNumberFormat="1" applyFont="1" applyBorder="1" applyAlignment="1">
      <alignment vertical="center" wrapText="1"/>
    </xf>
    <xf numFmtId="167" fontId="5" fillId="0" borderId="0" xfId="7" applyNumberFormat="1" applyFont="1" applyFill="1" applyAlignment="1">
      <alignment vertical="center" wrapText="1"/>
    </xf>
    <xf numFmtId="0" fontId="6" fillId="0" borderId="38" xfId="3" quotePrefix="1" applyFont="1" applyBorder="1" applyAlignment="1">
      <alignment horizontal="center" vertical="center" wrapText="1"/>
    </xf>
    <xf numFmtId="0" fontId="6" fillId="0" borderId="38" xfId="3" applyFont="1" applyBorder="1" applyAlignment="1">
      <alignment horizontal="center" vertical="center" wrapText="1"/>
    </xf>
    <xf numFmtId="0" fontId="6" fillId="0" borderId="38" xfId="3" applyFont="1" applyBorder="1" applyAlignment="1">
      <alignment vertical="center" wrapText="1"/>
    </xf>
    <xf numFmtId="0" fontId="8" fillId="0" borderId="38" xfId="3" applyFont="1" applyBorder="1" applyAlignment="1">
      <alignment horizontal="center" vertical="center" wrapText="1"/>
    </xf>
    <xf numFmtId="0" fontId="8" fillId="0" borderId="38" xfId="3" applyFont="1" applyBorder="1" applyAlignment="1">
      <alignment vertical="center" wrapText="1"/>
    </xf>
    <xf numFmtId="0" fontId="8" fillId="0" borderId="38" xfId="3" quotePrefix="1" applyFont="1" applyBorder="1" applyAlignment="1">
      <alignment horizontal="center" vertical="center" wrapText="1"/>
    </xf>
    <xf numFmtId="168" fontId="8" fillId="0" borderId="39" xfId="2" applyNumberFormat="1" applyFont="1" applyFill="1" applyBorder="1" applyAlignment="1">
      <alignment vertical="center" wrapText="1"/>
    </xf>
    <xf numFmtId="0" fontId="6" fillId="0" borderId="38" xfId="3" quotePrefix="1" applyFont="1" applyBorder="1" applyAlignment="1">
      <alignment horizontal="center" vertical="center"/>
    </xf>
    <xf numFmtId="0" fontId="6" fillId="0" borderId="38" xfId="3" applyFont="1" applyBorder="1" applyAlignment="1">
      <alignment vertical="center"/>
    </xf>
    <xf numFmtId="3" fontId="6" fillId="0" borderId="38" xfId="3" applyNumberFormat="1" applyFont="1" applyBorder="1" applyAlignment="1">
      <alignment vertical="center"/>
    </xf>
    <xf numFmtId="3" fontId="6" fillId="0" borderId="39" xfId="3" applyNumberFormat="1" applyFont="1" applyBorder="1" applyAlignment="1">
      <alignment vertical="center"/>
    </xf>
    <xf numFmtId="3" fontId="6" fillId="0" borderId="40" xfId="3" applyNumberFormat="1" applyFont="1" applyBorder="1" applyAlignment="1">
      <alignment vertical="center"/>
    </xf>
    <xf numFmtId="164" fontId="6" fillId="0" borderId="41" xfId="3" applyNumberFormat="1" applyFont="1" applyBorder="1" applyAlignment="1">
      <alignment vertical="center"/>
    </xf>
    <xf numFmtId="3" fontId="6" fillId="0" borderId="41" xfId="3" applyNumberFormat="1" applyFont="1" applyBorder="1" applyAlignment="1">
      <alignment vertical="center"/>
    </xf>
    <xf numFmtId="0" fontId="10" fillId="0" borderId="0" xfId="3" applyFont="1" applyAlignment="1">
      <alignment vertical="center"/>
    </xf>
    <xf numFmtId="168" fontId="6" fillId="0" borderId="39" xfId="2" applyNumberFormat="1" applyFont="1" applyFill="1" applyBorder="1" applyAlignment="1">
      <alignment vertical="center"/>
    </xf>
    <xf numFmtId="3" fontId="15" fillId="0" borderId="40" xfId="3" applyNumberFormat="1" applyFont="1" applyBorder="1" applyAlignment="1">
      <alignment vertical="center" wrapText="1"/>
    </xf>
    <xf numFmtId="3" fontId="15" fillId="0" borderId="41" xfId="3" applyNumberFormat="1" applyFont="1" applyBorder="1" applyAlignment="1">
      <alignment vertical="center" wrapText="1"/>
    </xf>
    <xf numFmtId="3" fontId="8" fillId="6" borderId="40" xfId="3" applyNumberFormat="1" applyFont="1" applyFill="1" applyBorder="1" applyAlignment="1">
      <alignment vertical="center" wrapText="1"/>
    </xf>
    <xf numFmtId="0" fontId="8" fillId="0" borderId="38" xfId="3" applyFont="1" applyBorder="1" applyAlignment="1">
      <alignment vertical="center"/>
    </xf>
    <xf numFmtId="168" fontId="8" fillId="0" borderId="38" xfId="3" applyNumberFormat="1" applyFont="1" applyBorder="1" applyAlignment="1">
      <alignment vertical="center" wrapText="1"/>
    </xf>
    <xf numFmtId="0" fontId="8" fillId="0" borderId="38" xfId="3" applyFont="1" applyBorder="1" applyAlignment="1">
      <alignment horizontal="center" vertical="center"/>
    </xf>
    <xf numFmtId="0" fontId="8" fillId="0" borderId="38" xfId="3" quotePrefix="1" applyFont="1" applyBorder="1" applyAlignment="1">
      <alignment horizontal="center" vertical="center"/>
    </xf>
    <xf numFmtId="3" fontId="8" fillId="0" borderId="38" xfId="3" applyNumberFormat="1" applyFont="1" applyBorder="1" applyAlignment="1">
      <alignment vertical="center"/>
    </xf>
    <xf numFmtId="3" fontId="8" fillId="0" borderId="39" xfId="3" applyNumberFormat="1" applyFont="1" applyBorder="1" applyAlignment="1">
      <alignment vertical="center"/>
    </xf>
    <xf numFmtId="3" fontId="8" fillId="0" borderId="40" xfId="3" applyNumberFormat="1" applyFont="1" applyBorder="1" applyAlignment="1">
      <alignment vertical="center"/>
    </xf>
    <xf numFmtId="164" fontId="8" fillId="0" borderId="41" xfId="3" applyNumberFormat="1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3" fontId="8" fillId="6" borderId="43" xfId="3" applyNumberFormat="1" applyFont="1" applyFill="1" applyBorder="1" applyAlignment="1">
      <alignment vertical="center" wrapText="1"/>
    </xf>
    <xf numFmtId="167" fontId="10" fillId="0" borderId="0" xfId="3" applyNumberFormat="1" applyFont="1" applyAlignment="1">
      <alignment vertical="center" wrapText="1"/>
    </xf>
    <xf numFmtId="168" fontId="14" fillId="0" borderId="39" xfId="3" applyNumberFormat="1" applyFont="1" applyBorder="1" applyAlignment="1">
      <alignment vertical="center" wrapText="1"/>
    </xf>
    <xf numFmtId="168" fontId="6" fillId="0" borderId="38" xfId="3" applyNumberFormat="1" applyFont="1" applyBorder="1" applyAlignment="1">
      <alignment vertical="center" wrapText="1"/>
    </xf>
    <xf numFmtId="168" fontId="6" fillId="0" borderId="38" xfId="2" applyNumberFormat="1" applyFont="1" applyFill="1" applyBorder="1" applyAlignment="1">
      <alignment vertical="center" wrapText="1"/>
    </xf>
    <xf numFmtId="168" fontId="8" fillId="6" borderId="44" xfId="5" applyNumberFormat="1" applyFont="1" applyFill="1" applyBorder="1" applyAlignment="1">
      <alignment vertical="center" wrapText="1"/>
    </xf>
    <xf numFmtId="0" fontId="6" fillId="6" borderId="45" xfId="3" applyFont="1" applyFill="1" applyBorder="1" applyAlignment="1">
      <alignment vertical="center" wrapText="1"/>
    </xf>
    <xf numFmtId="3" fontId="6" fillId="6" borderId="46" xfId="3" applyNumberFormat="1" applyFont="1" applyFill="1" applyBorder="1" applyAlignment="1">
      <alignment vertical="center" wrapText="1"/>
    </xf>
    <xf numFmtId="3" fontId="6" fillId="6" borderId="47" xfId="3" applyNumberFormat="1" applyFont="1" applyFill="1" applyBorder="1" applyAlignment="1">
      <alignment vertical="center" wrapText="1"/>
    </xf>
    <xf numFmtId="3" fontId="6" fillId="6" borderId="45" xfId="3" applyNumberFormat="1" applyFont="1" applyFill="1" applyBorder="1" applyAlignment="1">
      <alignment vertical="center" wrapText="1"/>
    </xf>
    <xf numFmtId="3" fontId="6" fillId="6" borderId="4" xfId="3" applyNumberFormat="1" applyFont="1" applyFill="1" applyBorder="1" applyAlignment="1">
      <alignment vertical="center" wrapText="1"/>
    </xf>
    <xf numFmtId="3" fontId="6" fillId="3" borderId="21" xfId="3" applyNumberFormat="1" applyFont="1" applyFill="1" applyBorder="1" applyAlignment="1">
      <alignment vertical="center" wrapText="1"/>
    </xf>
    <xf numFmtId="168" fontId="8" fillId="6" borderId="48" xfId="6" applyNumberFormat="1" applyFont="1" applyFill="1" applyBorder="1" applyAlignment="1">
      <alignment vertical="center" wrapText="1"/>
    </xf>
    <xf numFmtId="3" fontId="6" fillId="0" borderId="0" xfId="3" applyNumberFormat="1" applyFont="1" applyAlignment="1">
      <alignment vertical="center" wrapText="1"/>
    </xf>
    <xf numFmtId="3" fontId="6" fillId="6" borderId="49" xfId="3" applyNumberFormat="1" applyFont="1" applyFill="1" applyBorder="1" applyAlignment="1">
      <alignment vertical="center" wrapText="1"/>
    </xf>
    <xf numFmtId="41" fontId="6" fillId="6" borderId="30" xfId="2" applyFont="1" applyFill="1" applyBorder="1" applyAlignment="1">
      <alignment vertical="center" wrapText="1"/>
    </xf>
    <xf numFmtId="168" fontId="10" fillId="3" borderId="30" xfId="3" applyNumberFormat="1" applyFont="1" applyFill="1" applyBorder="1" applyAlignment="1">
      <alignment vertical="center" wrapText="1"/>
    </xf>
    <xf numFmtId="0" fontId="10" fillId="3" borderId="21" xfId="3" applyFont="1" applyFill="1" applyBorder="1" applyAlignment="1">
      <alignment horizontal="center" vertical="center" wrapText="1"/>
    </xf>
    <xf numFmtId="0" fontId="6" fillId="0" borderId="50" xfId="6" applyFont="1" applyBorder="1" applyAlignment="1">
      <alignment horizontal="center" vertical="center" wrapText="1"/>
    </xf>
    <xf numFmtId="0" fontId="6" fillId="0" borderId="51" xfId="6" applyFont="1" applyBorder="1" applyAlignment="1">
      <alignment horizontal="center" vertical="center" wrapText="1"/>
    </xf>
    <xf numFmtId="0" fontId="6" fillId="0" borderId="19" xfId="6" applyFont="1" applyBorder="1" applyAlignment="1">
      <alignment vertical="center" wrapText="1"/>
    </xf>
    <xf numFmtId="3" fontId="6" fillId="0" borderId="19" xfId="3" applyNumberFormat="1" applyFont="1" applyBorder="1" applyAlignment="1">
      <alignment vertical="center" wrapText="1"/>
    </xf>
    <xf numFmtId="164" fontId="6" fillId="0" borderId="19" xfId="3" applyNumberFormat="1" applyFont="1" applyBorder="1" applyAlignment="1">
      <alignment vertical="center" wrapText="1"/>
    </xf>
    <xf numFmtId="3" fontId="6" fillId="0" borderId="29" xfId="3" applyNumberFormat="1" applyFont="1" applyBorder="1" applyAlignment="1">
      <alignment vertical="center" wrapText="1"/>
    </xf>
    <xf numFmtId="168" fontId="6" fillId="3" borderId="29" xfId="6" applyNumberFormat="1" applyFont="1" applyFill="1" applyBorder="1" applyAlignment="1">
      <alignment vertical="center" wrapText="1"/>
    </xf>
    <xf numFmtId="168" fontId="8" fillId="6" borderId="29" xfId="6" applyNumberFormat="1" applyFont="1" applyFill="1" applyBorder="1" applyAlignment="1">
      <alignment vertical="center" wrapText="1"/>
    </xf>
    <xf numFmtId="3" fontId="6" fillId="0" borderId="51" xfId="3" applyNumberFormat="1" applyFont="1" applyBorder="1" applyAlignment="1">
      <alignment vertical="center" wrapText="1"/>
    </xf>
    <xf numFmtId="168" fontId="6" fillId="0" borderId="51" xfId="2" applyNumberFormat="1" applyFont="1" applyFill="1" applyBorder="1" applyAlignment="1">
      <alignment vertical="center" wrapText="1"/>
    </xf>
    <xf numFmtId="167" fontId="6" fillId="0" borderId="0" xfId="5" applyNumberFormat="1" applyFont="1" applyFill="1" applyAlignment="1">
      <alignment vertical="center" wrapText="1"/>
    </xf>
    <xf numFmtId="0" fontId="10" fillId="0" borderId="20" xfId="3" applyFont="1" applyBorder="1" applyAlignment="1">
      <alignment vertical="center" wrapText="1"/>
    </xf>
    <xf numFmtId="3" fontId="10" fillId="0" borderId="16" xfId="3" applyNumberFormat="1" applyFont="1" applyBorder="1" applyAlignment="1">
      <alignment vertical="center" wrapText="1"/>
    </xf>
    <xf numFmtId="0" fontId="10" fillId="0" borderId="15" xfId="3" applyFont="1" applyBorder="1" applyAlignment="1">
      <alignment vertical="center" wrapText="1"/>
    </xf>
    <xf numFmtId="3" fontId="10" fillId="0" borderId="4" xfId="3" applyNumberFormat="1" applyFont="1" applyBorder="1" applyAlignment="1">
      <alignment vertical="center" wrapText="1"/>
    </xf>
    <xf numFmtId="0" fontId="6" fillId="0" borderId="39" xfId="3" applyFont="1" applyBorder="1" applyAlignment="1">
      <alignment horizontal="center" vertical="center" wrapText="1"/>
    </xf>
    <xf numFmtId="0" fontId="6" fillId="0" borderId="19" xfId="3" applyFont="1" applyBorder="1" applyAlignment="1">
      <alignment vertical="center" wrapText="1"/>
    </xf>
    <xf numFmtId="168" fontId="6" fillId="3" borderId="19" xfId="6" applyNumberFormat="1" applyFont="1" applyFill="1" applyBorder="1" applyAlignment="1">
      <alignment vertical="center" wrapText="1"/>
    </xf>
    <xf numFmtId="168" fontId="8" fillId="6" borderId="19" xfId="6" applyNumberFormat="1" applyFont="1" applyFill="1" applyBorder="1" applyAlignment="1">
      <alignment vertical="center" wrapText="1"/>
    </xf>
    <xf numFmtId="3" fontId="6" fillId="6" borderId="40" xfId="5" applyNumberFormat="1" applyFont="1" applyFill="1" applyBorder="1" applyAlignment="1">
      <alignment vertical="center" wrapText="1"/>
    </xf>
    <xf numFmtId="0" fontId="10" fillId="0" borderId="30" xfId="3" applyFont="1" applyBorder="1" applyAlignment="1">
      <alignment vertical="center" wrapText="1"/>
    </xf>
    <xf numFmtId="3" fontId="10" fillId="0" borderId="21" xfId="3" applyNumberFormat="1" applyFont="1" applyBorder="1" applyAlignment="1">
      <alignment vertical="center" wrapText="1"/>
    </xf>
    <xf numFmtId="0" fontId="10" fillId="0" borderId="21" xfId="3" applyFont="1" applyBorder="1" applyAlignment="1">
      <alignment vertical="center" wrapText="1"/>
    </xf>
    <xf numFmtId="168" fontId="6" fillId="6" borderId="40" xfId="5" applyNumberFormat="1" applyFont="1" applyFill="1" applyBorder="1" applyAlignment="1">
      <alignment vertical="center" wrapText="1"/>
    </xf>
    <xf numFmtId="0" fontId="8" fillId="0" borderId="39" xfId="6" quotePrefix="1" applyFont="1" applyBorder="1" applyAlignment="1">
      <alignment horizontal="center" vertical="center" wrapText="1"/>
    </xf>
    <xf numFmtId="0" fontId="8" fillId="0" borderId="19" xfId="6" applyFont="1" applyBorder="1" applyAlignment="1">
      <alignment vertical="center" wrapText="1"/>
    </xf>
    <xf numFmtId="3" fontId="8" fillId="0" borderId="19" xfId="3" applyNumberFormat="1" applyFont="1" applyBorder="1" applyAlignment="1">
      <alignment vertical="center" wrapText="1"/>
    </xf>
    <xf numFmtId="164" fontId="8" fillId="0" borderId="19" xfId="3" applyNumberFormat="1" applyFont="1" applyBorder="1" applyAlignment="1">
      <alignment vertical="center" wrapText="1"/>
    </xf>
    <xf numFmtId="0" fontId="8" fillId="0" borderId="39" xfId="3" quotePrefix="1" applyFont="1" applyBorder="1" applyAlignment="1">
      <alignment horizontal="center" vertical="center" wrapText="1"/>
    </xf>
    <xf numFmtId="0" fontId="8" fillId="0" borderId="19" xfId="3" applyFont="1" applyBorder="1" applyAlignment="1">
      <alignment horizontal="left" vertical="center" wrapText="1"/>
    </xf>
    <xf numFmtId="3" fontId="10" fillId="3" borderId="21" xfId="3" applyNumberFormat="1" applyFont="1" applyFill="1" applyBorder="1" applyAlignment="1">
      <alignment vertical="center" wrapText="1"/>
    </xf>
    <xf numFmtId="0" fontId="8" fillId="0" borderId="19" xfId="3" applyFont="1" applyBorder="1" applyAlignment="1">
      <alignment vertical="center" wrapText="1"/>
    </xf>
    <xf numFmtId="168" fontId="8" fillId="6" borderId="40" xfId="5" applyNumberFormat="1" applyFont="1" applyFill="1" applyBorder="1" applyAlignment="1">
      <alignment vertical="center" wrapText="1"/>
    </xf>
    <xf numFmtId="168" fontId="5" fillId="0" borderId="0" xfId="3" applyNumberFormat="1" applyFont="1" applyAlignment="1">
      <alignment vertical="center" wrapText="1"/>
    </xf>
    <xf numFmtId="168" fontId="12" fillId="3" borderId="21" xfId="9" applyNumberFormat="1" applyFont="1" applyFill="1" applyBorder="1" applyAlignment="1">
      <alignment vertical="center" wrapText="1"/>
    </xf>
    <xf numFmtId="0" fontId="8" fillId="5" borderId="39" xfId="3" quotePrefix="1" applyFont="1" applyFill="1" applyBorder="1" applyAlignment="1">
      <alignment horizontal="center" vertical="center" wrapText="1"/>
    </xf>
    <xf numFmtId="0" fontId="8" fillId="5" borderId="19" xfId="3" applyFont="1" applyFill="1" applyBorder="1" applyAlignment="1">
      <alignment horizontal="left" vertical="center" wrapText="1"/>
    </xf>
    <xf numFmtId="3" fontId="8" fillId="5" borderId="19" xfId="3" applyNumberFormat="1" applyFont="1" applyFill="1" applyBorder="1" applyAlignment="1">
      <alignment vertical="center" wrapText="1"/>
    </xf>
    <xf numFmtId="164" fontId="8" fillId="5" borderId="19" xfId="3" applyNumberFormat="1" applyFont="1" applyFill="1" applyBorder="1" applyAlignment="1">
      <alignment vertical="center" wrapText="1"/>
    </xf>
    <xf numFmtId="0" fontId="6" fillId="5" borderId="39" xfId="6" applyFont="1" applyFill="1" applyBorder="1" applyAlignment="1">
      <alignment horizontal="center" vertical="center" wrapText="1"/>
    </xf>
    <xf numFmtId="0" fontId="6" fillId="5" borderId="19" xfId="6" applyFont="1" applyFill="1" applyBorder="1" applyAlignment="1">
      <alignment vertical="center" wrapText="1"/>
    </xf>
    <xf numFmtId="3" fontId="6" fillId="5" borderId="19" xfId="6" quotePrefix="1" applyNumberFormat="1" applyFont="1" applyFill="1" applyBorder="1" applyAlignment="1">
      <alignment horizontal="right" vertical="center" wrapText="1"/>
    </xf>
    <xf numFmtId="164" fontId="6" fillId="5" borderId="19" xfId="6" quotePrefix="1" applyNumberFormat="1" applyFont="1" applyFill="1" applyBorder="1" applyAlignment="1">
      <alignment horizontal="right" vertical="center" wrapText="1"/>
    </xf>
    <xf numFmtId="3" fontId="6" fillId="0" borderId="19" xfId="6" quotePrefix="1" applyNumberFormat="1" applyFont="1" applyBorder="1" applyAlignment="1">
      <alignment horizontal="right" vertical="center" wrapText="1"/>
    </xf>
    <xf numFmtId="0" fontId="6" fillId="5" borderId="39" xfId="6" quotePrefix="1" applyFont="1" applyFill="1" applyBorder="1" applyAlignment="1">
      <alignment horizontal="center" vertical="center" wrapText="1"/>
    </xf>
    <xf numFmtId="0" fontId="6" fillId="5" borderId="19" xfId="6" applyFont="1" applyFill="1" applyBorder="1" applyAlignment="1">
      <alignment vertical="center"/>
    </xf>
    <xf numFmtId="3" fontId="6" fillId="0" borderId="39" xfId="6" quotePrefix="1" applyNumberFormat="1" applyFont="1" applyBorder="1" applyAlignment="1">
      <alignment horizontal="right" vertical="center" wrapText="1"/>
    </xf>
    <xf numFmtId="168" fontId="6" fillId="0" borderId="39" xfId="2" quotePrefix="1" applyNumberFormat="1" applyFont="1" applyFill="1" applyBorder="1" applyAlignment="1">
      <alignment horizontal="right" vertical="center" wrapText="1"/>
    </xf>
    <xf numFmtId="3" fontId="6" fillId="6" borderId="40" xfId="6" quotePrefix="1" applyNumberFormat="1" applyFont="1" applyFill="1" applyBorder="1" applyAlignment="1">
      <alignment horizontal="right" vertical="center" wrapText="1"/>
    </xf>
    <xf numFmtId="3" fontId="8" fillId="0" borderId="52" xfId="10" applyNumberFormat="1" applyFont="1" applyBorder="1" applyAlignment="1">
      <alignment horizontal="center" vertical="center"/>
    </xf>
    <xf numFmtId="3" fontId="8" fillId="5" borderId="53" xfId="10" quotePrefix="1" applyNumberFormat="1" applyFont="1" applyFill="1" applyBorder="1" applyAlignment="1">
      <alignment horizontal="center" vertical="center"/>
    </xf>
    <xf numFmtId="3" fontId="8" fillId="5" borderId="19" xfId="10" applyNumberFormat="1" applyFont="1" applyFill="1" applyBorder="1" applyAlignment="1">
      <alignment vertical="center"/>
    </xf>
    <xf numFmtId="0" fontId="6" fillId="0" borderId="38" xfId="3" applyFont="1" applyBorder="1" applyAlignment="1">
      <alignment horizontal="center" vertical="center"/>
    </xf>
    <xf numFmtId="0" fontId="6" fillId="5" borderId="39" xfId="3" quotePrefix="1" applyFont="1" applyFill="1" applyBorder="1" applyAlignment="1">
      <alignment horizontal="center" vertical="center"/>
    </xf>
    <xf numFmtId="0" fontId="6" fillId="5" borderId="19" xfId="3" applyFont="1" applyFill="1" applyBorder="1" applyAlignment="1">
      <alignment vertical="center"/>
    </xf>
    <xf numFmtId="3" fontId="6" fillId="5" borderId="19" xfId="3" applyNumberFormat="1" applyFont="1" applyFill="1" applyBorder="1" applyAlignment="1">
      <alignment vertical="center"/>
    </xf>
    <xf numFmtId="164" fontId="6" fillId="5" borderId="19" xfId="3" applyNumberFormat="1" applyFont="1" applyFill="1" applyBorder="1" applyAlignment="1">
      <alignment vertical="center"/>
    </xf>
    <xf numFmtId="3" fontId="6" fillId="0" borderId="19" xfId="3" applyNumberFormat="1" applyFont="1" applyBorder="1" applyAlignment="1">
      <alignment vertical="center"/>
    </xf>
    <xf numFmtId="0" fontId="8" fillId="5" borderId="39" xfId="6" applyFont="1" applyFill="1" applyBorder="1" applyAlignment="1">
      <alignment horizontal="center" vertical="center" wrapText="1"/>
    </xf>
    <xf numFmtId="0" fontId="8" fillId="5" borderId="19" xfId="6" applyFont="1" applyFill="1" applyBorder="1" applyAlignment="1">
      <alignment vertical="center" wrapText="1"/>
    </xf>
    <xf numFmtId="168" fontId="6" fillId="6" borderId="40" xfId="5" applyNumberFormat="1" applyFont="1" applyFill="1" applyBorder="1" applyAlignment="1">
      <alignment vertical="center"/>
    </xf>
    <xf numFmtId="0" fontId="8" fillId="5" borderId="19" xfId="3" applyFont="1" applyFill="1" applyBorder="1" applyAlignment="1">
      <alignment vertical="center" wrapText="1"/>
    </xf>
    <xf numFmtId="3" fontId="8" fillId="0" borderId="39" xfId="6" quotePrefix="1" applyNumberFormat="1" applyFont="1" applyBorder="1" applyAlignment="1">
      <alignment horizontal="right" vertical="center" wrapText="1"/>
    </xf>
    <xf numFmtId="0" fontId="8" fillId="5" borderId="39" xfId="3" applyFont="1" applyFill="1" applyBorder="1" applyAlignment="1">
      <alignment horizontal="center" vertical="center" wrapText="1"/>
    </xf>
    <xf numFmtId="0" fontId="6" fillId="5" borderId="39" xfId="3" applyFont="1" applyFill="1" applyBorder="1" applyAlignment="1">
      <alignment horizontal="center" vertical="center" wrapText="1"/>
    </xf>
    <xf numFmtId="0" fontId="6" fillId="5" borderId="19" xfId="3" applyFont="1" applyFill="1" applyBorder="1" applyAlignment="1">
      <alignment vertical="center" wrapText="1"/>
    </xf>
    <xf numFmtId="3" fontId="6" fillId="5" borderId="19" xfId="3" applyNumberFormat="1" applyFont="1" applyFill="1" applyBorder="1" applyAlignment="1">
      <alignment vertical="center" wrapText="1"/>
    </xf>
    <xf numFmtId="164" fontId="6" fillId="5" borderId="19" xfId="3" applyNumberFormat="1" applyFont="1" applyFill="1" applyBorder="1" applyAlignment="1">
      <alignment vertical="center" wrapText="1"/>
    </xf>
    <xf numFmtId="49" fontId="8" fillId="5" borderId="39" xfId="3" quotePrefix="1" applyNumberFormat="1" applyFont="1" applyFill="1" applyBorder="1" applyAlignment="1">
      <alignment horizontal="center" vertical="center"/>
    </xf>
    <xf numFmtId="0" fontId="8" fillId="5" borderId="39" xfId="3" quotePrefix="1" applyFont="1" applyFill="1" applyBorder="1" applyAlignment="1">
      <alignment horizontal="center" vertical="center"/>
    </xf>
    <xf numFmtId="0" fontId="8" fillId="5" borderId="19" xfId="3" applyFont="1" applyFill="1" applyBorder="1" applyAlignment="1">
      <alignment vertical="center"/>
    </xf>
    <xf numFmtId="3" fontId="8" fillId="5" borderId="19" xfId="3" applyNumberFormat="1" applyFont="1" applyFill="1" applyBorder="1" applyAlignment="1">
      <alignment vertical="center"/>
    </xf>
    <xf numFmtId="164" fontId="8" fillId="5" borderId="19" xfId="3" applyNumberFormat="1" applyFont="1" applyFill="1" applyBorder="1" applyAlignment="1">
      <alignment vertical="center"/>
    </xf>
    <xf numFmtId="3" fontId="8" fillId="0" borderId="19" xfId="3" applyNumberFormat="1" applyFont="1" applyBorder="1" applyAlignment="1">
      <alignment vertical="center"/>
    </xf>
    <xf numFmtId="168" fontId="8" fillId="0" borderId="39" xfId="2" applyNumberFormat="1" applyFont="1" applyFill="1" applyBorder="1" applyAlignment="1">
      <alignment vertical="center"/>
    </xf>
    <xf numFmtId="168" fontId="8" fillId="6" borderId="40" xfId="5" applyNumberFormat="1" applyFont="1" applyFill="1" applyBorder="1" applyAlignment="1">
      <alignment vertical="center"/>
    </xf>
    <xf numFmtId="0" fontId="8" fillId="5" borderId="39" xfId="6" quotePrefix="1" applyFont="1" applyFill="1" applyBorder="1" applyAlignment="1">
      <alignment horizontal="center" vertical="center" wrapText="1"/>
    </xf>
    <xf numFmtId="167" fontId="8" fillId="5" borderId="39" xfId="5" quotePrefix="1" applyNumberFormat="1" applyFont="1" applyFill="1" applyBorder="1" applyAlignment="1">
      <alignment horizontal="center" vertical="center"/>
    </xf>
    <xf numFmtId="167" fontId="8" fillId="5" borderId="19" xfId="5" applyNumberFormat="1" applyFont="1" applyFill="1" applyBorder="1" applyAlignment="1">
      <alignment vertical="center" wrapText="1"/>
    </xf>
    <xf numFmtId="49" fontId="8" fillId="5" borderId="39" xfId="5" quotePrefix="1" applyNumberFormat="1" applyFont="1" applyFill="1" applyBorder="1" applyAlignment="1">
      <alignment horizontal="center" vertical="center"/>
    </xf>
    <xf numFmtId="3" fontId="16" fillId="0" borderId="39" xfId="1" applyNumberFormat="1" applyFont="1" applyBorder="1" applyAlignment="1" applyProtection="1">
      <alignment horizontal="right" vertical="center"/>
      <protection locked="0"/>
    </xf>
    <xf numFmtId="168" fontId="16" fillId="0" borderId="39" xfId="2" applyNumberFormat="1" applyFont="1" applyFill="1" applyBorder="1" applyAlignment="1" applyProtection="1">
      <alignment horizontal="right" vertical="center"/>
      <protection locked="0"/>
    </xf>
    <xf numFmtId="49" fontId="8" fillId="5" borderId="39" xfId="1" applyNumberFormat="1" applyFont="1" applyFill="1" applyBorder="1" applyAlignment="1" applyProtection="1">
      <alignment horizontal="center" vertical="center"/>
      <protection locked="0"/>
    </xf>
    <xf numFmtId="0" fontId="8" fillId="5" borderId="19" xfId="6" applyFont="1" applyFill="1" applyBorder="1" applyAlignment="1">
      <alignment vertical="center"/>
    </xf>
    <xf numFmtId="3" fontId="17" fillId="0" borderId="19" xfId="3" applyNumberFormat="1" applyFont="1" applyBorder="1" applyAlignment="1">
      <alignment vertical="center" wrapText="1"/>
    </xf>
    <xf numFmtId="0" fontId="18" fillId="0" borderId="0" xfId="3" applyFont="1" applyAlignment="1">
      <alignment vertical="center" wrapText="1"/>
    </xf>
    <xf numFmtId="168" fontId="16" fillId="0" borderId="54" xfId="2" applyNumberFormat="1" applyFont="1" applyFill="1" applyBorder="1" applyAlignment="1" applyProtection="1">
      <alignment horizontal="right" vertical="center"/>
      <protection locked="0"/>
    </xf>
    <xf numFmtId="3" fontId="8" fillId="5" borderId="19" xfId="3" applyNumberFormat="1" applyFont="1" applyFill="1" applyBorder="1" applyAlignment="1">
      <alignment horizontal="left" vertical="center" wrapText="1"/>
    </xf>
    <xf numFmtId="3" fontId="15" fillId="0" borderId="19" xfId="3" applyNumberFormat="1" applyFont="1" applyBorder="1" applyAlignment="1">
      <alignment vertical="center" wrapText="1"/>
    </xf>
    <xf numFmtId="0" fontId="8" fillId="0" borderId="38" xfId="6" applyFont="1" applyBorder="1" applyAlignment="1">
      <alignment horizontal="center" vertical="center" wrapText="1"/>
    </xf>
    <xf numFmtId="168" fontId="6" fillId="0" borderId="54" xfId="2" applyNumberFormat="1" applyFont="1" applyFill="1" applyBorder="1" applyAlignment="1">
      <alignment vertical="center" wrapText="1"/>
    </xf>
    <xf numFmtId="0" fontId="6" fillId="0" borderId="55" xfId="6" quotePrefix="1" applyFont="1" applyBorder="1" applyAlignment="1">
      <alignment horizontal="center" vertical="center" wrapText="1"/>
    </xf>
    <xf numFmtId="0" fontId="6" fillId="0" borderId="55" xfId="3" applyFont="1" applyBorder="1" applyAlignment="1">
      <alignment horizontal="center" vertical="center" wrapText="1"/>
    </xf>
    <xf numFmtId="0" fontId="6" fillId="5" borderId="56" xfId="3" applyFont="1" applyFill="1" applyBorder="1" applyAlignment="1">
      <alignment horizontal="center" vertical="center" wrapText="1"/>
    </xf>
    <xf numFmtId="0" fontId="6" fillId="0" borderId="0" xfId="3" quotePrefix="1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167" fontId="8" fillId="0" borderId="0" xfId="5" applyNumberFormat="1" applyFont="1" applyFill="1" applyBorder="1" applyAlignment="1">
      <alignment vertical="center" wrapText="1"/>
    </xf>
    <xf numFmtId="164" fontId="8" fillId="0" borderId="0" xfId="5" applyNumberFormat="1" applyFont="1" applyFill="1" applyBorder="1" applyAlignment="1">
      <alignment vertical="center" wrapText="1"/>
    </xf>
    <xf numFmtId="3" fontId="6" fillId="0" borderId="56" xfId="3" applyNumberFormat="1" applyFont="1" applyBorder="1" applyAlignment="1">
      <alignment vertical="center" wrapText="1"/>
    </xf>
    <xf numFmtId="168" fontId="6" fillId="0" borderId="56" xfId="2" applyNumberFormat="1" applyFont="1" applyFill="1" applyBorder="1" applyAlignment="1">
      <alignment vertical="center" wrapText="1"/>
    </xf>
    <xf numFmtId="168" fontId="6" fillId="6" borderId="44" xfId="5" applyNumberFormat="1" applyFont="1" applyFill="1" applyBorder="1" applyAlignment="1">
      <alignment vertical="center" wrapText="1"/>
    </xf>
    <xf numFmtId="3" fontId="8" fillId="0" borderId="0" xfId="3" applyNumberFormat="1" applyFont="1" applyAlignment="1">
      <alignment vertical="center" wrapText="1"/>
    </xf>
    <xf numFmtId="164" fontId="8" fillId="0" borderId="0" xfId="3" applyNumberFormat="1" applyFont="1" applyAlignment="1">
      <alignment vertical="center" wrapText="1"/>
    </xf>
    <xf numFmtId="41" fontId="8" fillId="0" borderId="0" xfId="2" applyFont="1" applyFill="1" applyBorder="1" applyAlignment="1">
      <alignment vertical="center" wrapText="1"/>
    </xf>
    <xf numFmtId="164" fontId="5" fillId="0" borderId="0" xfId="3" applyNumberFormat="1" applyFont="1" applyAlignment="1">
      <alignment vertical="center" wrapText="1"/>
    </xf>
    <xf numFmtId="168" fontId="8" fillId="0" borderId="0" xfId="5" applyNumberFormat="1" applyFont="1" applyFill="1" applyAlignment="1">
      <alignment vertical="center" wrapText="1"/>
    </xf>
    <xf numFmtId="167" fontId="8" fillId="0" borderId="0" xfId="5" applyNumberFormat="1" applyFont="1" applyFill="1" applyAlignment="1">
      <alignment vertical="center" wrapText="1"/>
    </xf>
    <xf numFmtId="168" fontId="8" fillId="0" borderId="0" xfId="2" applyNumberFormat="1" applyFont="1" applyFill="1" applyAlignment="1">
      <alignment vertical="center" wrapText="1"/>
    </xf>
    <xf numFmtId="168" fontId="5" fillId="0" borderId="0" xfId="2" applyNumberFormat="1" applyFont="1" applyFill="1" applyAlignment="1">
      <alignment vertical="center" wrapText="1"/>
    </xf>
  </cellXfs>
  <cellStyles count="11">
    <cellStyle name="Millares [0] 2" xfId="2" xr:uid="{D8AAE28A-A581-4566-B581-96BFDCC2EE89}"/>
    <cellStyle name="Millares 2 2" xfId="7" xr:uid="{A2EAB543-CF7F-4693-B870-DA8B2B4FC10B}"/>
    <cellStyle name="Millares 25 4" xfId="5" xr:uid="{E7DFEC0D-BD1F-443B-8D2D-6FD4CC257663}"/>
    <cellStyle name="Normal" xfId="0" builtinId="0"/>
    <cellStyle name="Normal 12 2" xfId="1" xr:uid="{C5296452-5E55-48A2-A24A-EC3BFA227554}"/>
    <cellStyle name="Normal 17" xfId="10" xr:uid="{5F0D98D4-7F8F-4A3A-8A19-A4BA8BF0722E}"/>
    <cellStyle name="Normal 2 2" xfId="6" xr:uid="{8C0CC1E8-0663-490A-A6C7-040F1F55EFC2}"/>
    <cellStyle name="Normal 2 3" xfId="8" xr:uid="{D0CB2666-BDCC-46DE-B49B-E3760B613C14}"/>
    <cellStyle name="Normal 23 4" xfId="4" xr:uid="{4E265DCC-B920-4AC5-8868-7559BE02F42C}"/>
    <cellStyle name="Normal 5 2" xfId="3" xr:uid="{CA53418F-C6AE-4CB4-97AD-9A8A41A1E88F}"/>
    <cellStyle name="Normal 5 2 2" xfId="9" xr:uid="{8C687E1A-F22D-4FAE-85A2-10A09B82E8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ada\AppData\Local\Microsoft\Windows\INetCache\Content.Outlook\90R6YYMU\Informe%20Punto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LE 02"/>
      <sheetName val="MAULE 50"/>
      <sheetName val="Marco medición ejecución"/>
      <sheetName val="MAULE 02 (2)"/>
      <sheetName val="MAULE 02 (3)"/>
    </sheetNames>
    <sheetDataSet>
      <sheetData sheetId="0"/>
      <sheetData sheetId="1">
        <row r="43">
          <cell r="I43">
            <v>2115295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25A2-2925-4021-AB0D-3958B2F1DCC2}">
  <dimension ref="A1:BA210"/>
  <sheetViews>
    <sheetView tabSelected="1" zoomScale="80" zoomScaleNormal="80" workbookViewId="0">
      <pane xSplit="5" ySplit="31" topLeftCell="AA206" activePane="bottomRight" state="frozen"/>
      <selection activeCell="S95" sqref="S95"/>
      <selection pane="topRight" activeCell="S95" sqref="S95"/>
      <selection pane="bottomLeft" activeCell="S95" sqref="S95"/>
      <selection pane="bottomRight" activeCell="AX9" sqref="AX9"/>
    </sheetView>
  </sheetViews>
  <sheetFormatPr baseColWidth="10" defaultColWidth="12.5703125" defaultRowHeight="15.75" x14ac:dyDescent="0.2"/>
  <cols>
    <col min="1" max="1" width="5" style="21" customWidth="1"/>
    <col min="2" max="2" width="4.85546875" style="21" bestFit="1" customWidth="1"/>
    <col min="3" max="3" width="5.140625" style="21" bestFit="1" customWidth="1"/>
    <col min="4" max="4" width="35" style="21" customWidth="1"/>
    <col min="5" max="5" width="16" style="21" customWidth="1"/>
    <col min="6" max="7" width="11.5703125" style="21" customWidth="1"/>
    <col min="8" max="8" width="11.5703125" style="326" customWidth="1"/>
    <col min="9" max="20" width="11.5703125" style="21" customWidth="1"/>
    <col min="21" max="21" width="12.140625" style="21" customWidth="1"/>
    <col min="22" max="28" width="11.5703125" style="21" customWidth="1"/>
    <col min="29" max="29" width="14.7109375" style="21" customWidth="1"/>
    <col min="30" max="30" width="11.5703125" style="21" customWidth="1"/>
    <col min="31" max="31" width="15.5703125" style="255" customWidth="1"/>
    <col min="32" max="32" width="12.85546875" style="255" customWidth="1"/>
    <col min="33" max="33" width="13" style="1" customWidth="1"/>
    <col min="34" max="34" width="12.85546875" style="1" hidden="1" customWidth="1"/>
    <col min="35" max="35" width="3.28515625" style="174" hidden="1" customWidth="1"/>
    <col min="36" max="36" width="12.85546875" style="255" hidden="1" customWidth="1"/>
    <col min="37" max="37" width="12.42578125" style="255" hidden="1" customWidth="1"/>
    <col min="38" max="38" width="11.5703125" style="255" hidden="1" customWidth="1"/>
    <col min="39" max="39" width="10.5703125" style="255" hidden="1" customWidth="1"/>
    <col min="40" max="40" width="11.5703125" style="255" hidden="1" customWidth="1"/>
    <col min="41" max="41" width="11.28515625" style="255" hidden="1" customWidth="1"/>
    <col min="42" max="42" width="12" style="255" hidden="1" customWidth="1"/>
    <col min="43" max="43" width="13" style="255" hidden="1" customWidth="1"/>
    <col min="44" max="44" width="12.7109375" style="255" hidden="1" customWidth="1"/>
    <col min="45" max="45" width="10.7109375" style="255" hidden="1" customWidth="1"/>
    <col min="46" max="46" width="11.28515625" style="255" hidden="1" customWidth="1"/>
    <col min="47" max="47" width="12" style="330" hidden="1" customWidth="1"/>
    <col min="48" max="48" width="12.85546875" style="38" hidden="1" customWidth="1"/>
    <col min="49" max="49" width="10.5703125" style="39" hidden="1" customWidth="1"/>
    <col min="50" max="50" width="25.5703125" style="21" customWidth="1"/>
    <col min="51" max="51" width="14.42578125" style="21" customWidth="1"/>
    <col min="52" max="52" width="12.5703125" style="21"/>
    <col min="53" max="53" width="15.140625" style="21" customWidth="1"/>
    <col min="54" max="284" width="12.5703125" style="21"/>
    <col min="285" max="286" width="5.5703125" style="21" customWidth="1"/>
    <col min="287" max="287" width="5.7109375" style="21" customWidth="1"/>
    <col min="288" max="288" width="49.7109375" style="21" customWidth="1"/>
    <col min="289" max="290" width="15.140625" style="21" customWidth="1"/>
    <col min="291" max="291" width="4.28515625" style="21" customWidth="1"/>
    <col min="292" max="292" width="12.140625" style="21" customWidth="1"/>
    <col min="293" max="293" width="11.28515625" style="21" customWidth="1"/>
    <col min="294" max="294" width="11.140625" style="21" customWidth="1"/>
    <col min="295" max="306" width="13.85546875" style="21" customWidth="1"/>
    <col min="307" max="540" width="12.5703125" style="21"/>
    <col min="541" max="542" width="5.5703125" style="21" customWidth="1"/>
    <col min="543" max="543" width="5.7109375" style="21" customWidth="1"/>
    <col min="544" max="544" width="49.7109375" style="21" customWidth="1"/>
    <col min="545" max="546" width="15.140625" style="21" customWidth="1"/>
    <col min="547" max="547" width="4.28515625" style="21" customWidth="1"/>
    <col min="548" max="548" width="12.140625" style="21" customWidth="1"/>
    <col min="549" max="549" width="11.28515625" style="21" customWidth="1"/>
    <col min="550" max="550" width="11.140625" style="21" customWidth="1"/>
    <col min="551" max="562" width="13.85546875" style="21" customWidth="1"/>
    <col min="563" max="796" width="12.5703125" style="21"/>
    <col min="797" max="798" width="5.5703125" style="21" customWidth="1"/>
    <col min="799" max="799" width="5.7109375" style="21" customWidth="1"/>
    <col min="800" max="800" width="49.7109375" style="21" customWidth="1"/>
    <col min="801" max="802" width="15.140625" style="21" customWidth="1"/>
    <col min="803" max="803" width="4.28515625" style="21" customWidth="1"/>
    <col min="804" max="804" width="12.140625" style="21" customWidth="1"/>
    <col min="805" max="805" width="11.28515625" style="21" customWidth="1"/>
    <col min="806" max="806" width="11.140625" style="21" customWidth="1"/>
    <col min="807" max="818" width="13.85546875" style="21" customWidth="1"/>
    <col min="819" max="1052" width="12.5703125" style="21"/>
    <col min="1053" max="1054" width="5.5703125" style="21" customWidth="1"/>
    <col min="1055" max="1055" width="5.7109375" style="21" customWidth="1"/>
    <col min="1056" max="1056" width="49.7109375" style="21" customWidth="1"/>
    <col min="1057" max="1058" width="15.140625" style="21" customWidth="1"/>
    <col min="1059" max="1059" width="4.28515625" style="21" customWidth="1"/>
    <col min="1060" max="1060" width="12.140625" style="21" customWidth="1"/>
    <col min="1061" max="1061" width="11.28515625" style="21" customWidth="1"/>
    <col min="1062" max="1062" width="11.140625" style="21" customWidth="1"/>
    <col min="1063" max="1074" width="13.85546875" style="21" customWidth="1"/>
    <col min="1075" max="1308" width="12.5703125" style="21"/>
    <col min="1309" max="1310" width="5.5703125" style="21" customWidth="1"/>
    <col min="1311" max="1311" width="5.7109375" style="21" customWidth="1"/>
    <col min="1312" max="1312" width="49.7109375" style="21" customWidth="1"/>
    <col min="1313" max="1314" width="15.140625" style="21" customWidth="1"/>
    <col min="1315" max="1315" width="4.28515625" style="21" customWidth="1"/>
    <col min="1316" max="1316" width="12.140625" style="21" customWidth="1"/>
    <col min="1317" max="1317" width="11.28515625" style="21" customWidth="1"/>
    <col min="1318" max="1318" width="11.140625" style="21" customWidth="1"/>
    <col min="1319" max="1330" width="13.85546875" style="21" customWidth="1"/>
    <col min="1331" max="1564" width="12.5703125" style="21"/>
    <col min="1565" max="1566" width="5.5703125" style="21" customWidth="1"/>
    <col min="1567" max="1567" width="5.7109375" style="21" customWidth="1"/>
    <col min="1568" max="1568" width="49.7109375" style="21" customWidth="1"/>
    <col min="1569" max="1570" width="15.140625" style="21" customWidth="1"/>
    <col min="1571" max="1571" width="4.28515625" style="21" customWidth="1"/>
    <col min="1572" max="1572" width="12.140625" style="21" customWidth="1"/>
    <col min="1573" max="1573" width="11.28515625" style="21" customWidth="1"/>
    <col min="1574" max="1574" width="11.140625" style="21" customWidth="1"/>
    <col min="1575" max="1586" width="13.85546875" style="21" customWidth="1"/>
    <col min="1587" max="1820" width="12.5703125" style="21"/>
    <col min="1821" max="1822" width="5.5703125" style="21" customWidth="1"/>
    <col min="1823" max="1823" width="5.7109375" style="21" customWidth="1"/>
    <col min="1824" max="1824" width="49.7109375" style="21" customWidth="1"/>
    <col min="1825" max="1826" width="15.140625" style="21" customWidth="1"/>
    <col min="1827" max="1827" width="4.28515625" style="21" customWidth="1"/>
    <col min="1828" max="1828" width="12.140625" style="21" customWidth="1"/>
    <col min="1829" max="1829" width="11.28515625" style="21" customWidth="1"/>
    <col min="1830" max="1830" width="11.140625" style="21" customWidth="1"/>
    <col min="1831" max="1842" width="13.85546875" style="21" customWidth="1"/>
    <col min="1843" max="2076" width="12.5703125" style="21"/>
    <col min="2077" max="2078" width="5.5703125" style="21" customWidth="1"/>
    <col min="2079" max="2079" width="5.7109375" style="21" customWidth="1"/>
    <col min="2080" max="2080" width="49.7109375" style="21" customWidth="1"/>
    <col min="2081" max="2082" width="15.140625" style="21" customWidth="1"/>
    <col min="2083" max="2083" width="4.28515625" style="21" customWidth="1"/>
    <col min="2084" max="2084" width="12.140625" style="21" customWidth="1"/>
    <col min="2085" max="2085" width="11.28515625" style="21" customWidth="1"/>
    <col min="2086" max="2086" width="11.140625" style="21" customWidth="1"/>
    <col min="2087" max="2098" width="13.85546875" style="21" customWidth="1"/>
    <col min="2099" max="2332" width="12.5703125" style="21"/>
    <col min="2333" max="2334" width="5.5703125" style="21" customWidth="1"/>
    <col min="2335" max="2335" width="5.7109375" style="21" customWidth="1"/>
    <col min="2336" max="2336" width="49.7109375" style="21" customWidth="1"/>
    <col min="2337" max="2338" width="15.140625" style="21" customWidth="1"/>
    <col min="2339" max="2339" width="4.28515625" style="21" customWidth="1"/>
    <col min="2340" max="2340" width="12.140625" style="21" customWidth="1"/>
    <col min="2341" max="2341" width="11.28515625" style="21" customWidth="1"/>
    <col min="2342" max="2342" width="11.140625" style="21" customWidth="1"/>
    <col min="2343" max="2354" width="13.85546875" style="21" customWidth="1"/>
    <col min="2355" max="2588" width="12.5703125" style="21"/>
    <col min="2589" max="2590" width="5.5703125" style="21" customWidth="1"/>
    <col min="2591" max="2591" width="5.7109375" style="21" customWidth="1"/>
    <col min="2592" max="2592" width="49.7109375" style="21" customWidth="1"/>
    <col min="2593" max="2594" width="15.140625" style="21" customWidth="1"/>
    <col min="2595" max="2595" width="4.28515625" style="21" customWidth="1"/>
    <col min="2596" max="2596" width="12.140625" style="21" customWidth="1"/>
    <col min="2597" max="2597" width="11.28515625" style="21" customWidth="1"/>
    <col min="2598" max="2598" width="11.140625" style="21" customWidth="1"/>
    <col min="2599" max="2610" width="13.85546875" style="21" customWidth="1"/>
    <col min="2611" max="2844" width="12.5703125" style="21"/>
    <col min="2845" max="2846" width="5.5703125" style="21" customWidth="1"/>
    <col min="2847" max="2847" width="5.7109375" style="21" customWidth="1"/>
    <col min="2848" max="2848" width="49.7109375" style="21" customWidth="1"/>
    <col min="2849" max="2850" width="15.140625" style="21" customWidth="1"/>
    <col min="2851" max="2851" width="4.28515625" style="21" customWidth="1"/>
    <col min="2852" max="2852" width="12.140625" style="21" customWidth="1"/>
    <col min="2853" max="2853" width="11.28515625" style="21" customWidth="1"/>
    <col min="2854" max="2854" width="11.140625" style="21" customWidth="1"/>
    <col min="2855" max="2866" width="13.85546875" style="21" customWidth="1"/>
    <col min="2867" max="3100" width="12.5703125" style="21"/>
    <col min="3101" max="3102" width="5.5703125" style="21" customWidth="1"/>
    <col min="3103" max="3103" width="5.7109375" style="21" customWidth="1"/>
    <col min="3104" max="3104" width="49.7109375" style="21" customWidth="1"/>
    <col min="3105" max="3106" width="15.140625" style="21" customWidth="1"/>
    <col min="3107" max="3107" width="4.28515625" style="21" customWidth="1"/>
    <col min="3108" max="3108" width="12.140625" style="21" customWidth="1"/>
    <col min="3109" max="3109" width="11.28515625" style="21" customWidth="1"/>
    <col min="3110" max="3110" width="11.140625" style="21" customWidth="1"/>
    <col min="3111" max="3122" width="13.85546875" style="21" customWidth="1"/>
    <col min="3123" max="3356" width="12.5703125" style="21"/>
    <col min="3357" max="3358" width="5.5703125" style="21" customWidth="1"/>
    <col min="3359" max="3359" width="5.7109375" style="21" customWidth="1"/>
    <col min="3360" max="3360" width="49.7109375" style="21" customWidth="1"/>
    <col min="3361" max="3362" width="15.140625" style="21" customWidth="1"/>
    <col min="3363" max="3363" width="4.28515625" style="21" customWidth="1"/>
    <col min="3364" max="3364" width="12.140625" style="21" customWidth="1"/>
    <col min="3365" max="3365" width="11.28515625" style="21" customWidth="1"/>
    <col min="3366" max="3366" width="11.140625" style="21" customWidth="1"/>
    <col min="3367" max="3378" width="13.85546875" style="21" customWidth="1"/>
    <col min="3379" max="3612" width="12.5703125" style="21"/>
    <col min="3613" max="3614" width="5.5703125" style="21" customWidth="1"/>
    <col min="3615" max="3615" width="5.7109375" style="21" customWidth="1"/>
    <col min="3616" max="3616" width="49.7109375" style="21" customWidth="1"/>
    <col min="3617" max="3618" width="15.140625" style="21" customWidth="1"/>
    <col min="3619" max="3619" width="4.28515625" style="21" customWidth="1"/>
    <col min="3620" max="3620" width="12.140625" style="21" customWidth="1"/>
    <col min="3621" max="3621" width="11.28515625" style="21" customWidth="1"/>
    <col min="3622" max="3622" width="11.140625" style="21" customWidth="1"/>
    <col min="3623" max="3634" width="13.85546875" style="21" customWidth="1"/>
    <col min="3635" max="3868" width="12.5703125" style="21"/>
    <col min="3869" max="3870" width="5.5703125" style="21" customWidth="1"/>
    <col min="3871" max="3871" width="5.7109375" style="21" customWidth="1"/>
    <col min="3872" max="3872" width="49.7109375" style="21" customWidth="1"/>
    <col min="3873" max="3874" width="15.140625" style="21" customWidth="1"/>
    <col min="3875" max="3875" width="4.28515625" style="21" customWidth="1"/>
    <col min="3876" max="3876" width="12.140625" style="21" customWidth="1"/>
    <col min="3877" max="3877" width="11.28515625" style="21" customWidth="1"/>
    <col min="3878" max="3878" width="11.140625" style="21" customWidth="1"/>
    <col min="3879" max="3890" width="13.85546875" style="21" customWidth="1"/>
    <col min="3891" max="4124" width="12.5703125" style="21"/>
    <col min="4125" max="4126" width="5.5703125" style="21" customWidth="1"/>
    <col min="4127" max="4127" width="5.7109375" style="21" customWidth="1"/>
    <col min="4128" max="4128" width="49.7109375" style="21" customWidth="1"/>
    <col min="4129" max="4130" width="15.140625" style="21" customWidth="1"/>
    <col min="4131" max="4131" width="4.28515625" style="21" customWidth="1"/>
    <col min="4132" max="4132" width="12.140625" style="21" customWidth="1"/>
    <col min="4133" max="4133" width="11.28515625" style="21" customWidth="1"/>
    <col min="4134" max="4134" width="11.140625" style="21" customWidth="1"/>
    <col min="4135" max="4146" width="13.85546875" style="21" customWidth="1"/>
    <col min="4147" max="4380" width="12.5703125" style="21"/>
    <col min="4381" max="4382" width="5.5703125" style="21" customWidth="1"/>
    <col min="4383" max="4383" width="5.7109375" style="21" customWidth="1"/>
    <col min="4384" max="4384" width="49.7109375" style="21" customWidth="1"/>
    <col min="4385" max="4386" width="15.140625" style="21" customWidth="1"/>
    <col min="4387" max="4387" width="4.28515625" style="21" customWidth="1"/>
    <col min="4388" max="4388" width="12.140625" style="21" customWidth="1"/>
    <col min="4389" max="4389" width="11.28515625" style="21" customWidth="1"/>
    <col min="4390" max="4390" width="11.140625" style="21" customWidth="1"/>
    <col min="4391" max="4402" width="13.85546875" style="21" customWidth="1"/>
    <col min="4403" max="4636" width="12.5703125" style="21"/>
    <col min="4637" max="4638" width="5.5703125" style="21" customWidth="1"/>
    <col min="4639" max="4639" width="5.7109375" style="21" customWidth="1"/>
    <col min="4640" max="4640" width="49.7109375" style="21" customWidth="1"/>
    <col min="4641" max="4642" width="15.140625" style="21" customWidth="1"/>
    <col min="4643" max="4643" width="4.28515625" style="21" customWidth="1"/>
    <col min="4644" max="4644" width="12.140625" style="21" customWidth="1"/>
    <col min="4645" max="4645" width="11.28515625" style="21" customWidth="1"/>
    <col min="4646" max="4646" width="11.140625" style="21" customWidth="1"/>
    <col min="4647" max="4658" width="13.85546875" style="21" customWidth="1"/>
    <col min="4659" max="4892" width="12.5703125" style="21"/>
    <col min="4893" max="4894" width="5.5703125" style="21" customWidth="1"/>
    <col min="4895" max="4895" width="5.7109375" style="21" customWidth="1"/>
    <col min="4896" max="4896" width="49.7109375" style="21" customWidth="1"/>
    <col min="4897" max="4898" width="15.140625" style="21" customWidth="1"/>
    <col min="4899" max="4899" width="4.28515625" style="21" customWidth="1"/>
    <col min="4900" max="4900" width="12.140625" style="21" customWidth="1"/>
    <col min="4901" max="4901" width="11.28515625" style="21" customWidth="1"/>
    <col min="4902" max="4902" width="11.140625" style="21" customWidth="1"/>
    <col min="4903" max="4914" width="13.85546875" style="21" customWidth="1"/>
    <col min="4915" max="5148" width="12.5703125" style="21"/>
    <col min="5149" max="5150" width="5.5703125" style="21" customWidth="1"/>
    <col min="5151" max="5151" width="5.7109375" style="21" customWidth="1"/>
    <col min="5152" max="5152" width="49.7109375" style="21" customWidth="1"/>
    <col min="5153" max="5154" width="15.140625" style="21" customWidth="1"/>
    <col min="5155" max="5155" width="4.28515625" style="21" customWidth="1"/>
    <col min="5156" max="5156" width="12.140625" style="21" customWidth="1"/>
    <col min="5157" max="5157" width="11.28515625" style="21" customWidth="1"/>
    <col min="5158" max="5158" width="11.140625" style="21" customWidth="1"/>
    <col min="5159" max="5170" width="13.85546875" style="21" customWidth="1"/>
    <col min="5171" max="5404" width="12.5703125" style="21"/>
    <col min="5405" max="5406" width="5.5703125" style="21" customWidth="1"/>
    <col min="5407" max="5407" width="5.7109375" style="21" customWidth="1"/>
    <col min="5408" max="5408" width="49.7109375" style="21" customWidth="1"/>
    <col min="5409" max="5410" width="15.140625" style="21" customWidth="1"/>
    <col min="5411" max="5411" width="4.28515625" style="21" customWidth="1"/>
    <col min="5412" max="5412" width="12.140625" style="21" customWidth="1"/>
    <col min="5413" max="5413" width="11.28515625" style="21" customWidth="1"/>
    <col min="5414" max="5414" width="11.140625" style="21" customWidth="1"/>
    <col min="5415" max="5426" width="13.85546875" style="21" customWidth="1"/>
    <col min="5427" max="5660" width="12.5703125" style="21"/>
    <col min="5661" max="5662" width="5.5703125" style="21" customWidth="1"/>
    <col min="5663" max="5663" width="5.7109375" style="21" customWidth="1"/>
    <col min="5664" max="5664" width="49.7109375" style="21" customWidth="1"/>
    <col min="5665" max="5666" width="15.140625" style="21" customWidth="1"/>
    <col min="5667" max="5667" width="4.28515625" style="21" customWidth="1"/>
    <col min="5668" max="5668" width="12.140625" style="21" customWidth="1"/>
    <col min="5669" max="5669" width="11.28515625" style="21" customWidth="1"/>
    <col min="5670" max="5670" width="11.140625" style="21" customWidth="1"/>
    <col min="5671" max="5682" width="13.85546875" style="21" customWidth="1"/>
    <col min="5683" max="5916" width="12.5703125" style="21"/>
    <col min="5917" max="5918" width="5.5703125" style="21" customWidth="1"/>
    <col min="5919" max="5919" width="5.7109375" style="21" customWidth="1"/>
    <col min="5920" max="5920" width="49.7109375" style="21" customWidth="1"/>
    <col min="5921" max="5922" width="15.140625" style="21" customWidth="1"/>
    <col min="5923" max="5923" width="4.28515625" style="21" customWidth="1"/>
    <col min="5924" max="5924" width="12.140625" style="21" customWidth="1"/>
    <col min="5925" max="5925" width="11.28515625" style="21" customWidth="1"/>
    <col min="5926" max="5926" width="11.140625" style="21" customWidth="1"/>
    <col min="5927" max="5938" width="13.85546875" style="21" customWidth="1"/>
    <col min="5939" max="6172" width="12.5703125" style="21"/>
    <col min="6173" max="6174" width="5.5703125" style="21" customWidth="1"/>
    <col min="6175" max="6175" width="5.7109375" style="21" customWidth="1"/>
    <col min="6176" max="6176" width="49.7109375" style="21" customWidth="1"/>
    <col min="6177" max="6178" width="15.140625" style="21" customWidth="1"/>
    <col min="6179" max="6179" width="4.28515625" style="21" customWidth="1"/>
    <col min="6180" max="6180" width="12.140625" style="21" customWidth="1"/>
    <col min="6181" max="6181" width="11.28515625" style="21" customWidth="1"/>
    <col min="6182" max="6182" width="11.140625" style="21" customWidth="1"/>
    <col min="6183" max="6194" width="13.85546875" style="21" customWidth="1"/>
    <col min="6195" max="6428" width="12.5703125" style="21"/>
    <col min="6429" max="6430" width="5.5703125" style="21" customWidth="1"/>
    <col min="6431" max="6431" width="5.7109375" style="21" customWidth="1"/>
    <col min="6432" max="6432" width="49.7109375" style="21" customWidth="1"/>
    <col min="6433" max="6434" width="15.140625" style="21" customWidth="1"/>
    <col min="6435" max="6435" width="4.28515625" style="21" customWidth="1"/>
    <col min="6436" max="6436" width="12.140625" style="21" customWidth="1"/>
    <col min="6437" max="6437" width="11.28515625" style="21" customWidth="1"/>
    <col min="6438" max="6438" width="11.140625" style="21" customWidth="1"/>
    <col min="6439" max="6450" width="13.85546875" style="21" customWidth="1"/>
    <col min="6451" max="6684" width="12.5703125" style="21"/>
    <col min="6685" max="6686" width="5.5703125" style="21" customWidth="1"/>
    <col min="6687" max="6687" width="5.7109375" style="21" customWidth="1"/>
    <col min="6688" max="6688" width="49.7109375" style="21" customWidth="1"/>
    <col min="6689" max="6690" width="15.140625" style="21" customWidth="1"/>
    <col min="6691" max="6691" width="4.28515625" style="21" customWidth="1"/>
    <col min="6692" max="6692" width="12.140625" style="21" customWidth="1"/>
    <col min="6693" max="6693" width="11.28515625" style="21" customWidth="1"/>
    <col min="6694" max="6694" width="11.140625" style="21" customWidth="1"/>
    <col min="6695" max="6706" width="13.85546875" style="21" customWidth="1"/>
    <col min="6707" max="6940" width="12.5703125" style="21"/>
    <col min="6941" max="6942" width="5.5703125" style="21" customWidth="1"/>
    <col min="6943" max="6943" width="5.7109375" style="21" customWidth="1"/>
    <col min="6944" max="6944" width="49.7109375" style="21" customWidth="1"/>
    <col min="6945" max="6946" width="15.140625" style="21" customWidth="1"/>
    <col min="6947" max="6947" width="4.28515625" style="21" customWidth="1"/>
    <col min="6948" max="6948" width="12.140625" style="21" customWidth="1"/>
    <col min="6949" max="6949" width="11.28515625" style="21" customWidth="1"/>
    <col min="6950" max="6950" width="11.140625" style="21" customWidth="1"/>
    <col min="6951" max="6962" width="13.85546875" style="21" customWidth="1"/>
    <col min="6963" max="7196" width="12.5703125" style="21"/>
    <col min="7197" max="7198" width="5.5703125" style="21" customWidth="1"/>
    <col min="7199" max="7199" width="5.7109375" style="21" customWidth="1"/>
    <col min="7200" max="7200" width="49.7109375" style="21" customWidth="1"/>
    <col min="7201" max="7202" width="15.140625" style="21" customWidth="1"/>
    <col min="7203" max="7203" width="4.28515625" style="21" customWidth="1"/>
    <col min="7204" max="7204" width="12.140625" style="21" customWidth="1"/>
    <col min="7205" max="7205" width="11.28515625" style="21" customWidth="1"/>
    <col min="7206" max="7206" width="11.140625" style="21" customWidth="1"/>
    <col min="7207" max="7218" width="13.85546875" style="21" customWidth="1"/>
    <col min="7219" max="7452" width="12.5703125" style="21"/>
    <col min="7453" max="7454" width="5.5703125" style="21" customWidth="1"/>
    <col min="7455" max="7455" width="5.7109375" style="21" customWidth="1"/>
    <col min="7456" max="7456" width="49.7109375" style="21" customWidth="1"/>
    <col min="7457" max="7458" width="15.140625" style="21" customWidth="1"/>
    <col min="7459" max="7459" width="4.28515625" style="21" customWidth="1"/>
    <col min="7460" max="7460" width="12.140625" style="21" customWidth="1"/>
    <col min="7461" max="7461" width="11.28515625" style="21" customWidth="1"/>
    <col min="7462" max="7462" width="11.140625" style="21" customWidth="1"/>
    <col min="7463" max="7474" width="13.85546875" style="21" customWidth="1"/>
    <col min="7475" max="7708" width="12.5703125" style="21"/>
    <col min="7709" max="7710" width="5.5703125" style="21" customWidth="1"/>
    <col min="7711" max="7711" width="5.7109375" style="21" customWidth="1"/>
    <col min="7712" max="7712" width="49.7109375" style="21" customWidth="1"/>
    <col min="7713" max="7714" width="15.140625" style="21" customWidth="1"/>
    <col min="7715" max="7715" width="4.28515625" style="21" customWidth="1"/>
    <col min="7716" max="7716" width="12.140625" style="21" customWidth="1"/>
    <col min="7717" max="7717" width="11.28515625" style="21" customWidth="1"/>
    <col min="7718" max="7718" width="11.140625" style="21" customWidth="1"/>
    <col min="7719" max="7730" width="13.85546875" style="21" customWidth="1"/>
    <col min="7731" max="7964" width="12.5703125" style="21"/>
    <col min="7965" max="7966" width="5.5703125" style="21" customWidth="1"/>
    <col min="7967" max="7967" width="5.7109375" style="21" customWidth="1"/>
    <col min="7968" max="7968" width="49.7109375" style="21" customWidth="1"/>
    <col min="7969" max="7970" width="15.140625" style="21" customWidth="1"/>
    <col min="7971" max="7971" width="4.28515625" style="21" customWidth="1"/>
    <col min="7972" max="7972" width="12.140625" style="21" customWidth="1"/>
    <col min="7973" max="7973" width="11.28515625" style="21" customWidth="1"/>
    <col min="7974" max="7974" width="11.140625" style="21" customWidth="1"/>
    <col min="7975" max="7986" width="13.85546875" style="21" customWidth="1"/>
    <col min="7987" max="8220" width="12.5703125" style="21"/>
    <col min="8221" max="8222" width="5.5703125" style="21" customWidth="1"/>
    <col min="8223" max="8223" width="5.7109375" style="21" customWidth="1"/>
    <col min="8224" max="8224" width="49.7109375" style="21" customWidth="1"/>
    <col min="8225" max="8226" width="15.140625" style="21" customWidth="1"/>
    <col min="8227" max="8227" width="4.28515625" style="21" customWidth="1"/>
    <col min="8228" max="8228" width="12.140625" style="21" customWidth="1"/>
    <col min="8229" max="8229" width="11.28515625" style="21" customWidth="1"/>
    <col min="8230" max="8230" width="11.140625" style="21" customWidth="1"/>
    <col min="8231" max="8242" width="13.85546875" style="21" customWidth="1"/>
    <col min="8243" max="8476" width="12.5703125" style="21"/>
    <col min="8477" max="8478" width="5.5703125" style="21" customWidth="1"/>
    <col min="8479" max="8479" width="5.7109375" style="21" customWidth="1"/>
    <col min="8480" max="8480" width="49.7109375" style="21" customWidth="1"/>
    <col min="8481" max="8482" width="15.140625" style="21" customWidth="1"/>
    <col min="8483" max="8483" width="4.28515625" style="21" customWidth="1"/>
    <col min="8484" max="8484" width="12.140625" style="21" customWidth="1"/>
    <col min="8485" max="8485" width="11.28515625" style="21" customWidth="1"/>
    <col min="8486" max="8486" width="11.140625" style="21" customWidth="1"/>
    <col min="8487" max="8498" width="13.85546875" style="21" customWidth="1"/>
    <col min="8499" max="8732" width="12.5703125" style="21"/>
    <col min="8733" max="8734" width="5.5703125" style="21" customWidth="1"/>
    <col min="8735" max="8735" width="5.7109375" style="21" customWidth="1"/>
    <col min="8736" max="8736" width="49.7109375" style="21" customWidth="1"/>
    <col min="8737" max="8738" width="15.140625" style="21" customWidth="1"/>
    <col min="8739" max="8739" width="4.28515625" style="21" customWidth="1"/>
    <col min="8740" max="8740" width="12.140625" style="21" customWidth="1"/>
    <col min="8741" max="8741" width="11.28515625" style="21" customWidth="1"/>
    <col min="8742" max="8742" width="11.140625" style="21" customWidth="1"/>
    <col min="8743" max="8754" width="13.85546875" style="21" customWidth="1"/>
    <col min="8755" max="8988" width="12.5703125" style="21"/>
    <col min="8989" max="8990" width="5.5703125" style="21" customWidth="1"/>
    <col min="8991" max="8991" width="5.7109375" style="21" customWidth="1"/>
    <col min="8992" max="8992" width="49.7109375" style="21" customWidth="1"/>
    <col min="8993" max="8994" width="15.140625" style="21" customWidth="1"/>
    <col min="8995" max="8995" width="4.28515625" style="21" customWidth="1"/>
    <col min="8996" max="8996" width="12.140625" style="21" customWidth="1"/>
    <col min="8997" max="8997" width="11.28515625" style="21" customWidth="1"/>
    <col min="8998" max="8998" width="11.140625" style="21" customWidth="1"/>
    <col min="8999" max="9010" width="13.85546875" style="21" customWidth="1"/>
    <col min="9011" max="9244" width="12.5703125" style="21"/>
    <col min="9245" max="9246" width="5.5703125" style="21" customWidth="1"/>
    <col min="9247" max="9247" width="5.7109375" style="21" customWidth="1"/>
    <col min="9248" max="9248" width="49.7109375" style="21" customWidth="1"/>
    <col min="9249" max="9250" width="15.140625" style="21" customWidth="1"/>
    <col min="9251" max="9251" width="4.28515625" style="21" customWidth="1"/>
    <col min="9252" max="9252" width="12.140625" style="21" customWidth="1"/>
    <col min="9253" max="9253" width="11.28515625" style="21" customWidth="1"/>
    <col min="9254" max="9254" width="11.140625" style="21" customWidth="1"/>
    <col min="9255" max="9266" width="13.85546875" style="21" customWidth="1"/>
    <col min="9267" max="9500" width="12.5703125" style="21"/>
    <col min="9501" max="9502" width="5.5703125" style="21" customWidth="1"/>
    <col min="9503" max="9503" width="5.7109375" style="21" customWidth="1"/>
    <col min="9504" max="9504" width="49.7109375" style="21" customWidth="1"/>
    <col min="9505" max="9506" width="15.140625" style="21" customWidth="1"/>
    <col min="9507" max="9507" width="4.28515625" style="21" customWidth="1"/>
    <col min="9508" max="9508" width="12.140625" style="21" customWidth="1"/>
    <col min="9509" max="9509" width="11.28515625" style="21" customWidth="1"/>
    <col min="9510" max="9510" width="11.140625" style="21" customWidth="1"/>
    <col min="9511" max="9522" width="13.85546875" style="21" customWidth="1"/>
    <col min="9523" max="9756" width="12.5703125" style="21"/>
    <col min="9757" max="9758" width="5.5703125" style="21" customWidth="1"/>
    <col min="9759" max="9759" width="5.7109375" style="21" customWidth="1"/>
    <col min="9760" max="9760" width="49.7109375" style="21" customWidth="1"/>
    <col min="9761" max="9762" width="15.140625" style="21" customWidth="1"/>
    <col min="9763" max="9763" width="4.28515625" style="21" customWidth="1"/>
    <col min="9764" max="9764" width="12.140625" style="21" customWidth="1"/>
    <col min="9765" max="9765" width="11.28515625" style="21" customWidth="1"/>
    <col min="9766" max="9766" width="11.140625" style="21" customWidth="1"/>
    <col min="9767" max="9778" width="13.85546875" style="21" customWidth="1"/>
    <col min="9779" max="10012" width="12.5703125" style="21"/>
    <col min="10013" max="10014" width="5.5703125" style="21" customWidth="1"/>
    <col min="10015" max="10015" width="5.7109375" style="21" customWidth="1"/>
    <col min="10016" max="10016" width="49.7109375" style="21" customWidth="1"/>
    <col min="10017" max="10018" width="15.140625" style="21" customWidth="1"/>
    <col min="10019" max="10019" width="4.28515625" style="21" customWidth="1"/>
    <col min="10020" max="10020" width="12.140625" style="21" customWidth="1"/>
    <col min="10021" max="10021" width="11.28515625" style="21" customWidth="1"/>
    <col min="10022" max="10022" width="11.140625" style="21" customWidth="1"/>
    <col min="10023" max="10034" width="13.85546875" style="21" customWidth="1"/>
    <col min="10035" max="10268" width="12.5703125" style="21"/>
    <col min="10269" max="10270" width="5.5703125" style="21" customWidth="1"/>
    <col min="10271" max="10271" width="5.7109375" style="21" customWidth="1"/>
    <col min="10272" max="10272" width="49.7109375" style="21" customWidth="1"/>
    <col min="10273" max="10274" width="15.140625" style="21" customWidth="1"/>
    <col min="10275" max="10275" width="4.28515625" style="21" customWidth="1"/>
    <col min="10276" max="10276" width="12.140625" style="21" customWidth="1"/>
    <col min="10277" max="10277" width="11.28515625" style="21" customWidth="1"/>
    <col min="10278" max="10278" width="11.140625" style="21" customWidth="1"/>
    <col min="10279" max="10290" width="13.85546875" style="21" customWidth="1"/>
    <col min="10291" max="10524" width="12.5703125" style="21"/>
    <col min="10525" max="10526" width="5.5703125" style="21" customWidth="1"/>
    <col min="10527" max="10527" width="5.7109375" style="21" customWidth="1"/>
    <col min="10528" max="10528" width="49.7109375" style="21" customWidth="1"/>
    <col min="10529" max="10530" width="15.140625" style="21" customWidth="1"/>
    <col min="10531" max="10531" width="4.28515625" style="21" customWidth="1"/>
    <col min="10532" max="10532" width="12.140625" style="21" customWidth="1"/>
    <col min="10533" max="10533" width="11.28515625" style="21" customWidth="1"/>
    <col min="10534" max="10534" width="11.140625" style="21" customWidth="1"/>
    <col min="10535" max="10546" width="13.85546875" style="21" customWidth="1"/>
    <col min="10547" max="10780" width="12.5703125" style="21"/>
    <col min="10781" max="10782" width="5.5703125" style="21" customWidth="1"/>
    <col min="10783" max="10783" width="5.7109375" style="21" customWidth="1"/>
    <col min="10784" max="10784" width="49.7109375" style="21" customWidth="1"/>
    <col min="10785" max="10786" width="15.140625" style="21" customWidth="1"/>
    <col min="10787" max="10787" width="4.28515625" style="21" customWidth="1"/>
    <col min="10788" max="10788" width="12.140625" style="21" customWidth="1"/>
    <col min="10789" max="10789" width="11.28515625" style="21" customWidth="1"/>
    <col min="10790" max="10790" width="11.140625" style="21" customWidth="1"/>
    <col min="10791" max="10802" width="13.85546875" style="21" customWidth="1"/>
    <col min="10803" max="11036" width="12.5703125" style="21"/>
    <col min="11037" max="11038" width="5.5703125" style="21" customWidth="1"/>
    <col min="11039" max="11039" width="5.7109375" style="21" customWidth="1"/>
    <col min="11040" max="11040" width="49.7109375" style="21" customWidth="1"/>
    <col min="11041" max="11042" width="15.140625" style="21" customWidth="1"/>
    <col min="11043" max="11043" width="4.28515625" style="21" customWidth="1"/>
    <col min="11044" max="11044" width="12.140625" style="21" customWidth="1"/>
    <col min="11045" max="11045" width="11.28515625" style="21" customWidth="1"/>
    <col min="11046" max="11046" width="11.140625" style="21" customWidth="1"/>
    <col min="11047" max="11058" width="13.85546875" style="21" customWidth="1"/>
    <col min="11059" max="11292" width="12.5703125" style="21"/>
    <col min="11293" max="11294" width="5.5703125" style="21" customWidth="1"/>
    <col min="11295" max="11295" width="5.7109375" style="21" customWidth="1"/>
    <col min="11296" max="11296" width="49.7109375" style="21" customWidth="1"/>
    <col min="11297" max="11298" width="15.140625" style="21" customWidth="1"/>
    <col min="11299" max="11299" width="4.28515625" style="21" customWidth="1"/>
    <col min="11300" max="11300" width="12.140625" style="21" customWidth="1"/>
    <col min="11301" max="11301" width="11.28515625" style="21" customWidth="1"/>
    <col min="11302" max="11302" width="11.140625" style="21" customWidth="1"/>
    <col min="11303" max="11314" width="13.85546875" style="21" customWidth="1"/>
    <col min="11315" max="11548" width="12.5703125" style="21"/>
    <col min="11549" max="11550" width="5.5703125" style="21" customWidth="1"/>
    <col min="11551" max="11551" width="5.7109375" style="21" customWidth="1"/>
    <col min="11552" max="11552" width="49.7109375" style="21" customWidth="1"/>
    <col min="11553" max="11554" width="15.140625" style="21" customWidth="1"/>
    <col min="11555" max="11555" width="4.28515625" style="21" customWidth="1"/>
    <col min="11556" max="11556" width="12.140625" style="21" customWidth="1"/>
    <col min="11557" max="11557" width="11.28515625" style="21" customWidth="1"/>
    <col min="11558" max="11558" width="11.140625" style="21" customWidth="1"/>
    <col min="11559" max="11570" width="13.85546875" style="21" customWidth="1"/>
    <col min="11571" max="11804" width="12.5703125" style="21"/>
    <col min="11805" max="11806" width="5.5703125" style="21" customWidth="1"/>
    <col min="11807" max="11807" width="5.7109375" style="21" customWidth="1"/>
    <col min="11808" max="11808" width="49.7109375" style="21" customWidth="1"/>
    <col min="11809" max="11810" width="15.140625" style="21" customWidth="1"/>
    <col min="11811" max="11811" width="4.28515625" style="21" customWidth="1"/>
    <col min="11812" max="11812" width="12.140625" style="21" customWidth="1"/>
    <col min="11813" max="11813" width="11.28515625" style="21" customWidth="1"/>
    <col min="11814" max="11814" width="11.140625" style="21" customWidth="1"/>
    <col min="11815" max="11826" width="13.85546875" style="21" customWidth="1"/>
    <col min="11827" max="12060" width="12.5703125" style="21"/>
    <col min="12061" max="12062" width="5.5703125" style="21" customWidth="1"/>
    <col min="12063" max="12063" width="5.7109375" style="21" customWidth="1"/>
    <col min="12064" max="12064" width="49.7109375" style="21" customWidth="1"/>
    <col min="12065" max="12066" width="15.140625" style="21" customWidth="1"/>
    <col min="12067" max="12067" width="4.28515625" style="21" customWidth="1"/>
    <col min="12068" max="12068" width="12.140625" style="21" customWidth="1"/>
    <col min="12069" max="12069" width="11.28515625" style="21" customWidth="1"/>
    <col min="12070" max="12070" width="11.140625" style="21" customWidth="1"/>
    <col min="12071" max="12082" width="13.85546875" style="21" customWidth="1"/>
    <col min="12083" max="12316" width="12.5703125" style="21"/>
    <col min="12317" max="12318" width="5.5703125" style="21" customWidth="1"/>
    <col min="12319" max="12319" width="5.7109375" style="21" customWidth="1"/>
    <col min="12320" max="12320" width="49.7109375" style="21" customWidth="1"/>
    <col min="12321" max="12322" width="15.140625" style="21" customWidth="1"/>
    <col min="12323" max="12323" width="4.28515625" style="21" customWidth="1"/>
    <col min="12324" max="12324" width="12.140625" style="21" customWidth="1"/>
    <col min="12325" max="12325" width="11.28515625" style="21" customWidth="1"/>
    <col min="12326" max="12326" width="11.140625" style="21" customWidth="1"/>
    <col min="12327" max="12338" width="13.85546875" style="21" customWidth="1"/>
    <col min="12339" max="12572" width="12.5703125" style="21"/>
    <col min="12573" max="12574" width="5.5703125" style="21" customWidth="1"/>
    <col min="12575" max="12575" width="5.7109375" style="21" customWidth="1"/>
    <col min="12576" max="12576" width="49.7109375" style="21" customWidth="1"/>
    <col min="12577" max="12578" width="15.140625" style="21" customWidth="1"/>
    <col min="12579" max="12579" width="4.28515625" style="21" customWidth="1"/>
    <col min="12580" max="12580" width="12.140625" style="21" customWidth="1"/>
    <col min="12581" max="12581" width="11.28515625" style="21" customWidth="1"/>
    <col min="12582" max="12582" width="11.140625" style="21" customWidth="1"/>
    <col min="12583" max="12594" width="13.85546875" style="21" customWidth="1"/>
    <col min="12595" max="12828" width="12.5703125" style="21"/>
    <col min="12829" max="12830" width="5.5703125" style="21" customWidth="1"/>
    <col min="12831" max="12831" width="5.7109375" style="21" customWidth="1"/>
    <col min="12832" max="12832" width="49.7109375" style="21" customWidth="1"/>
    <col min="12833" max="12834" width="15.140625" style="21" customWidth="1"/>
    <col min="12835" max="12835" width="4.28515625" style="21" customWidth="1"/>
    <col min="12836" max="12836" width="12.140625" style="21" customWidth="1"/>
    <col min="12837" max="12837" width="11.28515625" style="21" customWidth="1"/>
    <col min="12838" max="12838" width="11.140625" style="21" customWidth="1"/>
    <col min="12839" max="12850" width="13.85546875" style="21" customWidth="1"/>
    <col min="12851" max="13084" width="12.5703125" style="21"/>
    <col min="13085" max="13086" width="5.5703125" style="21" customWidth="1"/>
    <col min="13087" max="13087" width="5.7109375" style="21" customWidth="1"/>
    <col min="13088" max="13088" width="49.7109375" style="21" customWidth="1"/>
    <col min="13089" max="13090" width="15.140625" style="21" customWidth="1"/>
    <col min="13091" max="13091" width="4.28515625" style="21" customWidth="1"/>
    <col min="13092" max="13092" width="12.140625" style="21" customWidth="1"/>
    <col min="13093" max="13093" width="11.28515625" style="21" customWidth="1"/>
    <col min="13094" max="13094" width="11.140625" style="21" customWidth="1"/>
    <col min="13095" max="13106" width="13.85546875" style="21" customWidth="1"/>
    <col min="13107" max="13340" width="12.5703125" style="21"/>
    <col min="13341" max="13342" width="5.5703125" style="21" customWidth="1"/>
    <col min="13343" max="13343" width="5.7109375" style="21" customWidth="1"/>
    <col min="13344" max="13344" width="49.7109375" style="21" customWidth="1"/>
    <col min="13345" max="13346" width="15.140625" style="21" customWidth="1"/>
    <col min="13347" max="13347" width="4.28515625" style="21" customWidth="1"/>
    <col min="13348" max="13348" width="12.140625" style="21" customWidth="1"/>
    <col min="13349" max="13349" width="11.28515625" style="21" customWidth="1"/>
    <col min="13350" max="13350" width="11.140625" style="21" customWidth="1"/>
    <col min="13351" max="13362" width="13.85546875" style="21" customWidth="1"/>
    <col min="13363" max="13596" width="12.5703125" style="21"/>
    <col min="13597" max="13598" width="5.5703125" style="21" customWidth="1"/>
    <col min="13599" max="13599" width="5.7109375" style="21" customWidth="1"/>
    <col min="13600" max="13600" width="49.7109375" style="21" customWidth="1"/>
    <col min="13601" max="13602" width="15.140625" style="21" customWidth="1"/>
    <col min="13603" max="13603" width="4.28515625" style="21" customWidth="1"/>
    <col min="13604" max="13604" width="12.140625" style="21" customWidth="1"/>
    <col min="13605" max="13605" width="11.28515625" style="21" customWidth="1"/>
    <col min="13606" max="13606" width="11.140625" style="21" customWidth="1"/>
    <col min="13607" max="13618" width="13.85546875" style="21" customWidth="1"/>
    <col min="13619" max="13852" width="12.5703125" style="21"/>
    <col min="13853" max="13854" width="5.5703125" style="21" customWidth="1"/>
    <col min="13855" max="13855" width="5.7109375" style="21" customWidth="1"/>
    <col min="13856" max="13856" width="49.7109375" style="21" customWidth="1"/>
    <col min="13857" max="13858" width="15.140625" style="21" customWidth="1"/>
    <col min="13859" max="13859" width="4.28515625" style="21" customWidth="1"/>
    <col min="13860" max="13860" width="12.140625" style="21" customWidth="1"/>
    <col min="13861" max="13861" width="11.28515625" style="21" customWidth="1"/>
    <col min="13862" max="13862" width="11.140625" style="21" customWidth="1"/>
    <col min="13863" max="13874" width="13.85546875" style="21" customWidth="1"/>
    <col min="13875" max="14108" width="12.5703125" style="21"/>
    <col min="14109" max="14110" width="5.5703125" style="21" customWidth="1"/>
    <col min="14111" max="14111" width="5.7109375" style="21" customWidth="1"/>
    <col min="14112" max="14112" width="49.7109375" style="21" customWidth="1"/>
    <col min="14113" max="14114" width="15.140625" style="21" customWidth="1"/>
    <col min="14115" max="14115" width="4.28515625" style="21" customWidth="1"/>
    <col min="14116" max="14116" width="12.140625" style="21" customWidth="1"/>
    <col min="14117" max="14117" width="11.28515625" style="21" customWidth="1"/>
    <col min="14118" max="14118" width="11.140625" style="21" customWidth="1"/>
    <col min="14119" max="14130" width="13.85546875" style="21" customWidth="1"/>
    <col min="14131" max="14364" width="12.5703125" style="21"/>
    <col min="14365" max="14366" width="5.5703125" style="21" customWidth="1"/>
    <col min="14367" max="14367" width="5.7109375" style="21" customWidth="1"/>
    <col min="14368" max="14368" width="49.7109375" style="21" customWidth="1"/>
    <col min="14369" max="14370" width="15.140625" style="21" customWidth="1"/>
    <col min="14371" max="14371" width="4.28515625" style="21" customWidth="1"/>
    <col min="14372" max="14372" width="12.140625" style="21" customWidth="1"/>
    <col min="14373" max="14373" width="11.28515625" style="21" customWidth="1"/>
    <col min="14374" max="14374" width="11.140625" style="21" customWidth="1"/>
    <col min="14375" max="14386" width="13.85546875" style="21" customWidth="1"/>
    <col min="14387" max="14620" width="12.5703125" style="21"/>
    <col min="14621" max="14622" width="5.5703125" style="21" customWidth="1"/>
    <col min="14623" max="14623" width="5.7109375" style="21" customWidth="1"/>
    <col min="14624" max="14624" width="49.7109375" style="21" customWidth="1"/>
    <col min="14625" max="14626" width="15.140625" style="21" customWidth="1"/>
    <col min="14627" max="14627" width="4.28515625" style="21" customWidth="1"/>
    <col min="14628" max="14628" width="12.140625" style="21" customWidth="1"/>
    <col min="14629" max="14629" width="11.28515625" style="21" customWidth="1"/>
    <col min="14630" max="14630" width="11.140625" style="21" customWidth="1"/>
    <col min="14631" max="14642" width="13.85546875" style="21" customWidth="1"/>
    <col min="14643" max="14876" width="12.5703125" style="21"/>
    <col min="14877" max="14878" width="5.5703125" style="21" customWidth="1"/>
    <col min="14879" max="14879" width="5.7109375" style="21" customWidth="1"/>
    <col min="14880" max="14880" width="49.7109375" style="21" customWidth="1"/>
    <col min="14881" max="14882" width="15.140625" style="21" customWidth="1"/>
    <col min="14883" max="14883" width="4.28515625" style="21" customWidth="1"/>
    <col min="14884" max="14884" width="12.140625" style="21" customWidth="1"/>
    <col min="14885" max="14885" width="11.28515625" style="21" customWidth="1"/>
    <col min="14886" max="14886" width="11.140625" style="21" customWidth="1"/>
    <col min="14887" max="14898" width="13.85546875" style="21" customWidth="1"/>
    <col min="14899" max="15132" width="12.5703125" style="21"/>
    <col min="15133" max="15134" width="5.5703125" style="21" customWidth="1"/>
    <col min="15135" max="15135" width="5.7109375" style="21" customWidth="1"/>
    <col min="15136" max="15136" width="49.7109375" style="21" customWidth="1"/>
    <col min="15137" max="15138" width="15.140625" style="21" customWidth="1"/>
    <col min="15139" max="15139" width="4.28515625" style="21" customWidth="1"/>
    <col min="15140" max="15140" width="12.140625" style="21" customWidth="1"/>
    <col min="15141" max="15141" width="11.28515625" style="21" customWidth="1"/>
    <col min="15142" max="15142" width="11.140625" style="21" customWidth="1"/>
    <col min="15143" max="15154" width="13.85546875" style="21" customWidth="1"/>
    <col min="15155" max="15388" width="12.5703125" style="21"/>
    <col min="15389" max="15390" width="5.5703125" style="21" customWidth="1"/>
    <col min="15391" max="15391" width="5.7109375" style="21" customWidth="1"/>
    <col min="15392" max="15392" width="49.7109375" style="21" customWidth="1"/>
    <col min="15393" max="15394" width="15.140625" style="21" customWidth="1"/>
    <col min="15395" max="15395" width="4.28515625" style="21" customWidth="1"/>
    <col min="15396" max="15396" width="12.140625" style="21" customWidth="1"/>
    <col min="15397" max="15397" width="11.28515625" style="21" customWidth="1"/>
    <col min="15398" max="15398" width="11.140625" style="21" customWidth="1"/>
    <col min="15399" max="15410" width="13.85546875" style="21" customWidth="1"/>
    <col min="15411" max="15644" width="12.5703125" style="21"/>
    <col min="15645" max="15646" width="5.5703125" style="21" customWidth="1"/>
    <col min="15647" max="15647" width="5.7109375" style="21" customWidth="1"/>
    <col min="15648" max="15648" width="49.7109375" style="21" customWidth="1"/>
    <col min="15649" max="15650" width="15.140625" style="21" customWidth="1"/>
    <col min="15651" max="15651" width="4.28515625" style="21" customWidth="1"/>
    <col min="15652" max="15652" width="12.140625" style="21" customWidth="1"/>
    <col min="15653" max="15653" width="11.28515625" style="21" customWidth="1"/>
    <col min="15654" max="15654" width="11.140625" style="21" customWidth="1"/>
    <col min="15655" max="15666" width="13.85546875" style="21" customWidth="1"/>
    <col min="15667" max="15900" width="12.5703125" style="21"/>
    <col min="15901" max="15902" width="5.5703125" style="21" customWidth="1"/>
    <col min="15903" max="15903" width="5.7109375" style="21" customWidth="1"/>
    <col min="15904" max="15904" width="49.7109375" style="21" customWidth="1"/>
    <col min="15905" max="15906" width="15.140625" style="21" customWidth="1"/>
    <col min="15907" max="15907" width="4.28515625" style="21" customWidth="1"/>
    <col min="15908" max="15908" width="12.140625" style="21" customWidth="1"/>
    <col min="15909" max="15909" width="11.28515625" style="21" customWidth="1"/>
    <col min="15910" max="15910" width="11.140625" style="21" customWidth="1"/>
    <col min="15911" max="15922" width="13.85546875" style="21" customWidth="1"/>
    <col min="15923" max="16384" width="12.5703125" style="21"/>
  </cols>
  <sheetData>
    <row r="1" spans="1:53" s="1" customFormat="1" hidden="1" thickBot="1" x14ac:dyDescent="0.3">
      <c r="F1" s="2"/>
      <c r="G1" s="2">
        <f>+G2+G31</f>
        <v>2300432</v>
      </c>
      <c r="H1" s="3"/>
      <c r="AJ1" s="4"/>
      <c r="AK1" s="4"/>
    </row>
    <row r="2" spans="1:53" s="1" customFormat="1" hidden="1" thickBot="1" x14ac:dyDescent="0.3">
      <c r="D2" s="5">
        <f>0.06*E31</f>
        <v>5094645.3</v>
      </c>
      <c r="G2" s="1">
        <v>1187404</v>
      </c>
      <c r="H2" s="3"/>
      <c r="AJ2" s="4"/>
      <c r="AK2" s="4"/>
      <c r="AX2" s="6"/>
      <c r="AY2" s="5"/>
      <c r="AZ2" s="5"/>
      <c r="BA2" s="7"/>
    </row>
    <row r="3" spans="1:53" s="8" customFormat="1" ht="13.5" hidden="1" thickBot="1" x14ac:dyDescent="0.25">
      <c r="H3" s="9"/>
      <c r="AB3" s="8" t="s">
        <v>0</v>
      </c>
      <c r="AC3" s="8" t="s">
        <v>0</v>
      </c>
      <c r="AX3" s="6"/>
      <c r="AY3" s="6"/>
      <c r="AZ3" s="6"/>
      <c r="BA3" s="10"/>
    </row>
    <row r="4" spans="1:53" s="11" customFormat="1" ht="20.25" customHeight="1" x14ac:dyDescent="0.25">
      <c r="F4" s="12" t="s">
        <v>1</v>
      </c>
      <c r="G4" s="12" t="s">
        <v>1</v>
      </c>
      <c r="H4" s="13" t="s">
        <v>1</v>
      </c>
      <c r="I4" s="12" t="s">
        <v>1</v>
      </c>
      <c r="J4" s="13" t="s">
        <v>1</v>
      </c>
      <c r="K4" s="12" t="s">
        <v>2</v>
      </c>
      <c r="L4" s="13" t="s">
        <v>1</v>
      </c>
      <c r="M4" s="12" t="s">
        <v>1</v>
      </c>
      <c r="N4" s="13" t="s">
        <v>1</v>
      </c>
      <c r="O4" s="12" t="s">
        <v>1</v>
      </c>
      <c r="P4" s="13" t="s">
        <v>1</v>
      </c>
      <c r="Q4" s="12" t="s">
        <v>2</v>
      </c>
      <c r="R4" s="12" t="s">
        <v>1</v>
      </c>
      <c r="S4" s="12" t="s">
        <v>1</v>
      </c>
      <c r="T4" s="12" t="s">
        <v>1</v>
      </c>
      <c r="U4" s="13" t="s">
        <v>1</v>
      </c>
      <c r="V4" s="13" t="s">
        <v>1</v>
      </c>
      <c r="W4" s="13" t="s">
        <v>1</v>
      </c>
      <c r="X4" s="13" t="s">
        <v>1</v>
      </c>
      <c r="Y4" s="14" t="s">
        <v>1</v>
      </c>
      <c r="Z4" s="14" t="s">
        <v>1</v>
      </c>
      <c r="AA4" s="15" t="s">
        <v>3</v>
      </c>
      <c r="AB4" s="14" t="s">
        <v>1</v>
      </c>
      <c r="AC4" s="14" t="s">
        <v>1</v>
      </c>
      <c r="AD4" s="16"/>
      <c r="AJ4" s="17"/>
      <c r="AX4" s="18"/>
      <c r="AY4" s="19"/>
      <c r="AZ4" s="19"/>
      <c r="BA4" s="20"/>
    </row>
    <row r="5" spans="1:53" x14ac:dyDescent="0.25">
      <c r="B5" s="22"/>
      <c r="C5" s="22"/>
      <c r="D5" s="23" t="s">
        <v>4</v>
      </c>
      <c r="E5" s="24"/>
      <c r="F5" s="25">
        <v>44224</v>
      </c>
      <c r="G5" s="25">
        <v>44229</v>
      </c>
      <c r="H5" s="26">
        <v>44228</v>
      </c>
      <c r="I5" s="25">
        <v>44208</v>
      </c>
      <c r="J5" s="26">
        <v>44228</v>
      </c>
      <c r="K5" s="25">
        <v>44231</v>
      </c>
      <c r="L5" s="26">
        <v>44228</v>
      </c>
      <c r="M5" s="25">
        <v>44228</v>
      </c>
      <c r="N5" s="26">
        <v>44242</v>
      </c>
      <c r="O5" s="25">
        <v>44256</v>
      </c>
      <c r="P5" s="26">
        <v>44272</v>
      </c>
      <c r="Q5" s="27">
        <v>44292</v>
      </c>
      <c r="R5" s="27">
        <v>44316</v>
      </c>
      <c r="S5" s="27">
        <v>44320</v>
      </c>
      <c r="T5" s="27">
        <v>44316</v>
      </c>
      <c r="U5" s="28">
        <v>44340</v>
      </c>
      <c r="V5" s="27">
        <v>44333</v>
      </c>
      <c r="W5" s="28">
        <v>44348</v>
      </c>
      <c r="X5" s="27">
        <v>44348</v>
      </c>
      <c r="Y5" s="29">
        <v>44316</v>
      </c>
      <c r="Z5" s="29">
        <v>44320</v>
      </c>
      <c r="AA5" s="27">
        <v>44344</v>
      </c>
      <c r="AB5" s="29">
        <v>44333</v>
      </c>
      <c r="AC5" s="27">
        <v>44348</v>
      </c>
      <c r="AD5" s="30"/>
      <c r="AE5" s="24"/>
      <c r="AF5" s="31"/>
      <c r="AI5" s="32"/>
      <c r="AJ5" s="33"/>
      <c r="AK5" s="33"/>
      <c r="AL5" s="34"/>
      <c r="AM5" s="35"/>
      <c r="AN5" s="34"/>
      <c r="AO5" s="34"/>
      <c r="AP5" s="34"/>
      <c r="AQ5" s="34"/>
      <c r="AR5" s="34"/>
      <c r="AS5" s="36"/>
      <c r="AT5" s="34"/>
      <c r="AU5" s="37"/>
      <c r="AX5" s="40"/>
      <c r="AY5" s="40"/>
      <c r="AZ5" s="40"/>
      <c r="BA5" s="41"/>
    </row>
    <row r="6" spans="1:53" s="42" customFormat="1" ht="13.5" thickBot="1" x14ac:dyDescent="0.25">
      <c r="D6" s="23" t="s">
        <v>5</v>
      </c>
      <c r="E6" s="43"/>
      <c r="F6" s="44">
        <v>44238</v>
      </c>
      <c r="G6" s="44">
        <v>44246</v>
      </c>
      <c r="H6" s="45">
        <v>44245</v>
      </c>
      <c r="I6" s="44">
        <v>44245</v>
      </c>
      <c r="J6" s="45">
        <v>44245</v>
      </c>
      <c r="K6" s="44">
        <v>44252</v>
      </c>
      <c r="L6" s="45">
        <v>44243</v>
      </c>
      <c r="M6" s="44">
        <v>44232</v>
      </c>
      <c r="N6" s="45">
        <v>44272</v>
      </c>
      <c r="O6" s="44">
        <v>44267</v>
      </c>
      <c r="P6" s="45">
        <v>44284</v>
      </c>
      <c r="Q6" s="44">
        <v>44328</v>
      </c>
      <c r="R6" s="44">
        <v>44334</v>
      </c>
      <c r="S6" s="44">
        <v>44334</v>
      </c>
      <c r="T6" s="44">
        <v>44323</v>
      </c>
      <c r="U6" s="45">
        <v>44349</v>
      </c>
      <c r="V6" s="44">
        <v>44400</v>
      </c>
      <c r="W6" s="45">
        <v>44354</v>
      </c>
      <c r="X6" s="45">
        <v>44362</v>
      </c>
      <c r="Y6" s="46">
        <v>44334</v>
      </c>
      <c r="Z6" s="46">
        <v>44332</v>
      </c>
      <c r="AA6" s="44"/>
      <c r="AB6" s="46">
        <v>44343</v>
      </c>
      <c r="AC6" s="45">
        <v>44363</v>
      </c>
      <c r="AD6" s="47"/>
      <c r="AE6" s="43"/>
      <c r="AF6" s="43"/>
      <c r="AG6" s="1"/>
      <c r="AH6" s="1"/>
      <c r="AI6" s="48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2"/>
    </row>
    <row r="7" spans="1:53" s="53" customFormat="1" ht="24" customHeight="1" thickBot="1" x14ac:dyDescent="0.25">
      <c r="E7" s="54" t="s">
        <v>6</v>
      </c>
      <c r="F7" s="55">
        <v>80</v>
      </c>
      <c r="G7" s="55">
        <v>203</v>
      </c>
      <c r="H7" s="56">
        <v>157</v>
      </c>
      <c r="I7" s="57" t="s">
        <v>7</v>
      </c>
      <c r="J7" s="58">
        <v>146</v>
      </c>
      <c r="K7" s="55">
        <v>215</v>
      </c>
      <c r="L7" s="59">
        <v>123</v>
      </c>
      <c r="M7" s="60">
        <v>111</v>
      </c>
      <c r="N7" s="59">
        <v>257</v>
      </c>
      <c r="O7" s="60">
        <v>402</v>
      </c>
      <c r="P7" s="59">
        <v>446</v>
      </c>
      <c r="Q7" s="61">
        <v>45</v>
      </c>
      <c r="R7" s="60">
        <v>706</v>
      </c>
      <c r="S7" s="60">
        <v>751</v>
      </c>
      <c r="T7" s="60">
        <v>710</v>
      </c>
      <c r="U7" s="59">
        <v>1025</v>
      </c>
      <c r="V7" s="62">
        <v>71</v>
      </c>
      <c r="W7" s="59">
        <v>1079</v>
      </c>
      <c r="X7" s="60">
        <v>1087</v>
      </c>
      <c r="Y7" s="63">
        <v>697</v>
      </c>
      <c r="Z7" s="63">
        <v>771</v>
      </c>
      <c r="AA7" s="61">
        <v>76</v>
      </c>
      <c r="AB7" s="63">
        <v>949</v>
      </c>
      <c r="AC7" s="60">
        <v>1091</v>
      </c>
      <c r="AD7" s="64"/>
      <c r="AE7" s="65" t="s">
        <v>8</v>
      </c>
      <c r="AF7" s="66" t="s">
        <v>9</v>
      </c>
      <c r="AG7" s="1"/>
      <c r="AH7" s="1"/>
      <c r="AI7" s="67"/>
      <c r="AJ7" s="68" t="s">
        <v>10</v>
      </c>
      <c r="AK7" s="69" t="s">
        <v>11</v>
      </c>
      <c r="AL7" s="70" t="s">
        <v>12</v>
      </c>
      <c r="AM7" s="70" t="s">
        <v>13</v>
      </c>
      <c r="AN7" s="70" t="s">
        <v>14</v>
      </c>
      <c r="AO7" s="70" t="s">
        <v>15</v>
      </c>
      <c r="AP7" s="70" t="s">
        <v>16</v>
      </c>
      <c r="AQ7" s="70" t="s">
        <v>17</v>
      </c>
      <c r="AR7" s="70" t="s">
        <v>18</v>
      </c>
      <c r="AS7" s="70" t="s">
        <v>19</v>
      </c>
      <c r="AT7" s="70" t="s">
        <v>20</v>
      </c>
      <c r="AU7" s="70" t="s">
        <v>21</v>
      </c>
      <c r="AV7" s="71" t="s">
        <v>22</v>
      </c>
      <c r="AX7" s="72"/>
    </row>
    <row r="8" spans="1:53" s="39" customFormat="1" ht="26.25" thickBot="1" x14ac:dyDescent="0.25">
      <c r="E8" s="73"/>
      <c r="F8" s="74" t="s">
        <v>23</v>
      </c>
      <c r="G8" s="74" t="s">
        <v>24</v>
      </c>
      <c r="H8" s="75" t="s">
        <v>25</v>
      </c>
      <c r="I8" s="76" t="s">
        <v>26</v>
      </c>
      <c r="J8" s="77" t="s">
        <v>27</v>
      </c>
      <c r="K8" s="74" t="s">
        <v>28</v>
      </c>
      <c r="L8" s="78" t="s">
        <v>29</v>
      </c>
      <c r="M8" s="74" t="s">
        <v>30</v>
      </c>
      <c r="N8" s="77"/>
      <c r="O8" s="74"/>
      <c r="P8" s="77"/>
      <c r="Q8" s="79" t="s">
        <v>31</v>
      </c>
      <c r="R8" s="74"/>
      <c r="S8" s="74"/>
      <c r="T8" s="74"/>
      <c r="U8" s="77"/>
      <c r="V8" s="79" t="s">
        <v>31</v>
      </c>
      <c r="W8" s="77"/>
      <c r="X8" s="74"/>
      <c r="Y8" s="80"/>
      <c r="Z8" s="80"/>
      <c r="AA8" s="79" t="s">
        <v>31</v>
      </c>
      <c r="AB8" s="80"/>
      <c r="AC8" s="74"/>
      <c r="AD8" s="81"/>
      <c r="AE8" s="82"/>
      <c r="AF8" s="83"/>
      <c r="AG8" s="1"/>
      <c r="AH8" s="1"/>
      <c r="AI8" s="84"/>
      <c r="AJ8" s="68"/>
      <c r="AK8" s="85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86"/>
      <c r="AX8" s="87"/>
    </row>
    <row r="9" spans="1:53" s="100" customFormat="1" ht="16.5" thickBot="1" x14ac:dyDescent="0.25">
      <c r="A9" s="88" t="s">
        <v>32</v>
      </c>
      <c r="B9" s="88"/>
      <c r="C9" s="88"/>
      <c r="D9" s="88"/>
      <c r="E9" s="73"/>
      <c r="F9" s="89">
        <v>44224</v>
      </c>
      <c r="G9" s="90" t="s">
        <v>33</v>
      </c>
      <c r="H9" s="91" t="s">
        <v>34</v>
      </c>
      <c r="I9" s="92" t="s">
        <v>35</v>
      </c>
      <c r="J9" s="78" t="s">
        <v>36</v>
      </c>
      <c r="K9" s="90" t="s">
        <v>37</v>
      </c>
      <c r="L9" s="78" t="s">
        <v>38</v>
      </c>
      <c r="M9" s="90" t="s">
        <v>39</v>
      </c>
      <c r="N9" s="78"/>
      <c r="O9" s="90"/>
      <c r="P9" s="78"/>
      <c r="Q9" s="93"/>
      <c r="R9" s="90"/>
      <c r="S9" s="90"/>
      <c r="T9" s="90"/>
      <c r="U9" s="78"/>
      <c r="V9" s="93"/>
      <c r="W9" s="78"/>
      <c r="X9" s="90"/>
      <c r="Y9" s="94"/>
      <c r="Z9" s="94"/>
      <c r="AA9" s="93"/>
      <c r="AB9" s="94"/>
      <c r="AC9" s="90"/>
      <c r="AD9" s="95"/>
      <c r="AE9" s="82"/>
      <c r="AF9" s="83"/>
      <c r="AG9" s="96"/>
      <c r="AH9" s="1"/>
      <c r="AI9" s="97"/>
      <c r="AJ9" s="68"/>
      <c r="AK9" s="85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86"/>
      <c r="AW9" s="39"/>
      <c r="AX9" s="98"/>
      <c r="AY9" s="99"/>
    </row>
    <row r="10" spans="1:53" s="100" customFormat="1" ht="64.5" thickBot="1" x14ac:dyDescent="0.25">
      <c r="A10" s="88" t="s">
        <v>40</v>
      </c>
      <c r="B10" s="88"/>
      <c r="C10" s="88"/>
      <c r="D10" s="88"/>
      <c r="E10" s="101"/>
      <c r="F10" s="102" t="s">
        <v>41</v>
      </c>
      <c r="G10" s="103" t="s">
        <v>42</v>
      </c>
      <c r="H10" s="104" t="s">
        <v>43</v>
      </c>
      <c r="I10" s="105" t="s">
        <v>44</v>
      </c>
      <c r="J10" s="106" t="s">
        <v>45</v>
      </c>
      <c r="K10" s="103" t="s">
        <v>46</v>
      </c>
      <c r="L10" s="107" t="s">
        <v>47</v>
      </c>
      <c r="M10" s="103" t="s">
        <v>48</v>
      </c>
      <c r="N10" s="106" t="s">
        <v>49</v>
      </c>
      <c r="O10" s="102" t="s">
        <v>41</v>
      </c>
      <c r="P10" s="106" t="s">
        <v>50</v>
      </c>
      <c r="Q10" s="108" t="s">
        <v>51</v>
      </c>
      <c r="R10" s="103" t="s">
        <v>52</v>
      </c>
      <c r="S10" s="103" t="s">
        <v>53</v>
      </c>
      <c r="T10" s="103" t="s">
        <v>54</v>
      </c>
      <c r="U10" s="106" t="s">
        <v>55</v>
      </c>
      <c r="V10" s="108" t="s">
        <v>56</v>
      </c>
      <c r="W10" s="106" t="s">
        <v>55</v>
      </c>
      <c r="X10" s="102" t="s">
        <v>41</v>
      </c>
      <c r="Y10" s="109" t="s">
        <v>57</v>
      </c>
      <c r="Z10" s="109" t="s">
        <v>58</v>
      </c>
      <c r="AA10" s="108" t="s">
        <v>59</v>
      </c>
      <c r="AB10" s="109" t="s">
        <v>60</v>
      </c>
      <c r="AC10" s="103" t="s">
        <v>49</v>
      </c>
      <c r="AD10" s="110"/>
      <c r="AE10" s="111"/>
      <c r="AF10" s="112"/>
      <c r="AG10" s="96"/>
      <c r="AH10" s="1"/>
      <c r="AI10" s="97"/>
      <c r="AJ10" s="68"/>
      <c r="AK10" s="113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86"/>
      <c r="AW10" s="39"/>
      <c r="AY10" s="114" t="s">
        <v>61</v>
      </c>
      <c r="AZ10" s="115" t="s">
        <v>62</v>
      </c>
      <c r="BA10" s="116" t="s">
        <v>63</v>
      </c>
    </row>
    <row r="11" spans="1:53" s="117" customFormat="1" ht="13.5" hidden="1" thickBot="1" x14ac:dyDescent="0.25">
      <c r="A11" s="1"/>
      <c r="B11" s="1"/>
      <c r="C11" s="1"/>
      <c r="E11" s="118"/>
      <c r="F11" s="119"/>
      <c r="G11" s="120"/>
      <c r="H11" s="121"/>
      <c r="I11" s="122"/>
      <c r="J11" s="123"/>
      <c r="K11" s="124"/>
      <c r="L11" s="123"/>
      <c r="M11" s="125"/>
      <c r="N11" s="123"/>
      <c r="O11" s="120"/>
      <c r="P11" s="126"/>
      <c r="Q11" s="120"/>
      <c r="R11" s="120"/>
      <c r="S11" s="120"/>
      <c r="T11" s="120"/>
      <c r="U11" s="126"/>
      <c r="V11" s="127"/>
      <c r="W11" s="128"/>
      <c r="X11" s="127"/>
      <c r="Y11" s="119"/>
      <c r="Z11" s="119"/>
      <c r="AA11" s="127"/>
      <c r="AB11" s="119"/>
      <c r="AC11" s="120"/>
      <c r="AD11" s="128"/>
      <c r="AE11" s="129"/>
      <c r="AF11" s="130"/>
      <c r="AG11" s="1"/>
      <c r="AH11" s="1"/>
      <c r="AI11" s="131"/>
      <c r="AJ11" s="132"/>
      <c r="AK11" s="132"/>
      <c r="AL11" s="132"/>
      <c r="AM11" s="132"/>
      <c r="AN11" s="132"/>
      <c r="AO11" s="132"/>
      <c r="AP11" s="133"/>
      <c r="AQ11" s="133"/>
      <c r="AR11" s="133"/>
      <c r="AS11" s="133"/>
      <c r="AT11" s="133"/>
      <c r="AU11" s="134"/>
      <c r="AV11" s="86"/>
      <c r="AW11" s="135"/>
    </row>
    <row r="12" spans="1:53" s="152" customFormat="1" ht="16.5" hidden="1" thickBot="1" x14ac:dyDescent="0.25">
      <c r="A12" s="136" t="s">
        <v>64</v>
      </c>
      <c r="B12" s="137" t="s">
        <v>65</v>
      </c>
      <c r="C12" s="137" t="s">
        <v>66</v>
      </c>
      <c r="D12" s="138" t="s">
        <v>67</v>
      </c>
      <c r="E12" s="139">
        <f>+E13+E16+E17+E20+E22+E30</f>
        <v>84910755</v>
      </c>
      <c r="F12" s="140">
        <f t="shared" ref="F12:S12" si="0">F13+F16+F17+F20+F22+F30</f>
        <v>-598876</v>
      </c>
      <c r="G12" s="141">
        <f t="shared" si="0"/>
        <v>1113028</v>
      </c>
      <c r="H12" s="142">
        <f t="shared" si="0"/>
        <v>0</v>
      </c>
      <c r="I12" s="141">
        <f t="shared" si="0"/>
        <v>0</v>
      </c>
      <c r="J12" s="143">
        <f t="shared" si="0"/>
        <v>600000</v>
      </c>
      <c r="K12" s="141">
        <f t="shared" si="0"/>
        <v>450000</v>
      </c>
      <c r="L12" s="143">
        <f t="shared" si="0"/>
        <v>6905166</v>
      </c>
      <c r="M12" s="141">
        <f t="shared" si="0"/>
        <v>-2115295</v>
      </c>
      <c r="N12" s="143">
        <f t="shared" si="0"/>
        <v>0</v>
      </c>
      <c r="O12" s="141">
        <f t="shared" si="0"/>
        <v>-1000000</v>
      </c>
      <c r="P12" s="143">
        <f t="shared" si="0"/>
        <v>0</v>
      </c>
      <c r="Q12" s="141">
        <f t="shared" si="0"/>
        <v>0</v>
      </c>
      <c r="R12" s="141">
        <f t="shared" si="0"/>
        <v>0</v>
      </c>
      <c r="S12" s="141">
        <f t="shared" si="0"/>
        <v>0</v>
      </c>
      <c r="T12" s="141"/>
      <c r="U12" s="143">
        <f>U13+U16+U17+U20+U22+U30</f>
        <v>0</v>
      </c>
      <c r="V12" s="141"/>
      <c r="W12" s="143"/>
      <c r="X12" s="141"/>
      <c r="Y12" s="140"/>
      <c r="Z12" s="140"/>
      <c r="AA12" s="141"/>
      <c r="AB12" s="140"/>
      <c r="AC12" s="141"/>
      <c r="AD12" s="143"/>
      <c r="AE12" s="144">
        <f>AE13+AE16+AE17+AE20+AE22+AE30</f>
        <v>90279557</v>
      </c>
      <c r="AF12" s="145">
        <f>AF13+AF16+AF17+AF20+AF22+AF30</f>
        <v>90264778</v>
      </c>
      <c r="AG12" s="1"/>
      <c r="AH12" s="1"/>
      <c r="AI12" s="146"/>
      <c r="AJ12" s="147">
        <f t="shared" ref="AJ12:AW12" si="1">AJ13+AJ16+AJ17+AJ20+AJ22+AJ30</f>
        <v>9259902</v>
      </c>
      <c r="AK12" s="148">
        <f t="shared" si="1"/>
        <v>10942693</v>
      </c>
      <c r="AL12" s="148">
        <f t="shared" si="1"/>
        <v>10993263</v>
      </c>
      <c r="AM12" s="148">
        <f t="shared" si="1"/>
        <v>12088168</v>
      </c>
      <c r="AN12" s="148">
        <f t="shared" si="1"/>
        <v>13356400</v>
      </c>
      <c r="AO12" s="148">
        <f t="shared" si="1"/>
        <v>14109749</v>
      </c>
      <c r="AP12" s="148">
        <f t="shared" si="1"/>
        <v>16800858</v>
      </c>
      <c r="AQ12" s="148">
        <f t="shared" si="1"/>
        <v>16629378</v>
      </c>
      <c r="AR12" s="148">
        <f t="shared" si="1"/>
        <v>19665220</v>
      </c>
      <c r="AS12" s="148">
        <f t="shared" si="1"/>
        <v>13383181</v>
      </c>
      <c r="AT12" s="148">
        <f t="shared" si="1"/>
        <v>13608534</v>
      </c>
      <c r="AU12" s="149">
        <f t="shared" si="1"/>
        <v>39266699</v>
      </c>
      <c r="AV12" s="150">
        <f t="shared" si="1"/>
        <v>94640811</v>
      </c>
      <c r="AW12" s="151">
        <f t="shared" si="1"/>
        <v>-3598163</v>
      </c>
      <c r="AX12" s="41"/>
    </row>
    <row r="13" spans="1:53" s="152" customFormat="1" ht="16.5" hidden="1" thickBot="1" x14ac:dyDescent="0.25">
      <c r="A13" s="153" t="s">
        <v>68</v>
      </c>
      <c r="B13" s="154" t="s">
        <v>69</v>
      </c>
      <c r="C13" s="155" t="s">
        <v>69</v>
      </c>
      <c r="D13" s="155" t="s">
        <v>70</v>
      </c>
      <c r="E13" s="156">
        <f t="shared" ref="E13:S14" si="2">E14</f>
        <v>6026222</v>
      </c>
      <c r="F13" s="157">
        <f t="shared" si="2"/>
        <v>0</v>
      </c>
      <c r="G13" s="158">
        <f t="shared" si="2"/>
        <v>0</v>
      </c>
      <c r="H13" s="159">
        <f t="shared" si="2"/>
        <v>2276030</v>
      </c>
      <c r="I13" s="158">
        <f t="shared" si="2"/>
        <v>0</v>
      </c>
      <c r="J13" s="160">
        <f t="shared" si="2"/>
        <v>0</v>
      </c>
      <c r="K13" s="158">
        <f t="shared" si="2"/>
        <v>0</v>
      </c>
      <c r="L13" s="160">
        <f t="shared" si="2"/>
        <v>0</v>
      </c>
      <c r="M13" s="158">
        <f t="shared" si="2"/>
        <v>0</v>
      </c>
      <c r="N13" s="160">
        <f t="shared" si="2"/>
        <v>0</v>
      </c>
      <c r="O13" s="158">
        <f t="shared" si="2"/>
        <v>0</v>
      </c>
      <c r="P13" s="160">
        <f t="shared" si="2"/>
        <v>-14779</v>
      </c>
      <c r="Q13" s="158">
        <f t="shared" si="2"/>
        <v>0</v>
      </c>
      <c r="R13" s="158">
        <f t="shared" si="2"/>
        <v>0</v>
      </c>
      <c r="S13" s="158">
        <f t="shared" si="2"/>
        <v>0</v>
      </c>
      <c r="T13" s="158"/>
      <c r="U13" s="160">
        <f>U14</f>
        <v>0</v>
      </c>
      <c r="V13" s="158"/>
      <c r="W13" s="160"/>
      <c r="X13" s="158"/>
      <c r="Y13" s="157"/>
      <c r="Z13" s="157"/>
      <c r="AA13" s="158"/>
      <c r="AB13" s="157"/>
      <c r="AC13" s="158"/>
      <c r="AD13" s="160"/>
      <c r="AE13" s="161">
        <f>SUM(D13:M13)</f>
        <v>8302252</v>
      </c>
      <c r="AF13" s="162">
        <f t="shared" ref="AF13:AF28" si="3">SUM(E13:U13)</f>
        <v>8287473</v>
      </c>
      <c r="AG13" s="1"/>
      <c r="AH13" s="1"/>
      <c r="AJ13" s="156">
        <f t="shared" ref="AJ13:AV14" si="4">AJ14</f>
        <v>0</v>
      </c>
      <c r="AK13" s="156">
        <f t="shared" si="4"/>
        <v>900000</v>
      </c>
      <c r="AL13" s="156">
        <f t="shared" si="4"/>
        <v>0</v>
      </c>
      <c r="AM13" s="156">
        <f t="shared" si="4"/>
        <v>50000</v>
      </c>
      <c r="AN13" s="156">
        <f t="shared" si="4"/>
        <v>1000000</v>
      </c>
      <c r="AO13" s="156">
        <f t="shared" si="4"/>
        <v>1291454</v>
      </c>
      <c r="AP13" s="156">
        <f t="shared" si="4"/>
        <v>0</v>
      </c>
      <c r="AQ13" s="156">
        <f t="shared" si="4"/>
        <v>50000</v>
      </c>
      <c r="AR13" s="156">
        <f t="shared" si="4"/>
        <v>1000000</v>
      </c>
      <c r="AS13" s="156">
        <f t="shared" si="4"/>
        <v>0</v>
      </c>
      <c r="AT13" s="156">
        <f t="shared" si="4"/>
        <v>320000</v>
      </c>
      <c r="AU13" s="163">
        <f t="shared" si="4"/>
        <v>2890798</v>
      </c>
      <c r="AV13" s="164">
        <f t="shared" si="4"/>
        <v>7502252</v>
      </c>
      <c r="AW13" s="165">
        <f>+AV13-AF13</f>
        <v>-785221</v>
      </c>
    </row>
    <row r="14" spans="1:53" s="152" customFormat="1" ht="16.5" hidden="1" thickBot="1" x14ac:dyDescent="0.25">
      <c r="A14" s="166" t="s">
        <v>69</v>
      </c>
      <c r="B14" s="153" t="s">
        <v>71</v>
      </c>
      <c r="C14" s="153" t="s">
        <v>69</v>
      </c>
      <c r="D14" s="155" t="s">
        <v>72</v>
      </c>
      <c r="E14" s="156">
        <f>E15</f>
        <v>6026222</v>
      </c>
      <c r="F14" s="157"/>
      <c r="G14" s="158">
        <f t="shared" si="2"/>
        <v>0</v>
      </c>
      <c r="H14" s="159">
        <f t="shared" si="2"/>
        <v>2276030</v>
      </c>
      <c r="I14" s="158">
        <f t="shared" si="2"/>
        <v>0</v>
      </c>
      <c r="J14" s="160">
        <f t="shared" si="2"/>
        <v>0</v>
      </c>
      <c r="K14" s="158">
        <f t="shared" si="2"/>
        <v>0</v>
      </c>
      <c r="L14" s="160">
        <f t="shared" si="2"/>
        <v>0</v>
      </c>
      <c r="M14" s="158">
        <f t="shared" si="2"/>
        <v>0</v>
      </c>
      <c r="N14" s="160">
        <f t="shared" si="2"/>
        <v>0</v>
      </c>
      <c r="O14" s="158">
        <f t="shared" si="2"/>
        <v>0</v>
      </c>
      <c r="P14" s="160">
        <f t="shared" si="2"/>
        <v>-14779</v>
      </c>
      <c r="Q14" s="158">
        <f t="shared" si="2"/>
        <v>0</v>
      </c>
      <c r="R14" s="158">
        <f t="shared" si="2"/>
        <v>0</v>
      </c>
      <c r="S14" s="158">
        <f t="shared" si="2"/>
        <v>0</v>
      </c>
      <c r="T14" s="158"/>
      <c r="U14" s="160">
        <f>U15</f>
        <v>0</v>
      </c>
      <c r="V14" s="158"/>
      <c r="W14" s="160"/>
      <c r="X14" s="158"/>
      <c r="Y14" s="157"/>
      <c r="Z14" s="157"/>
      <c r="AA14" s="158"/>
      <c r="AB14" s="157"/>
      <c r="AC14" s="158"/>
      <c r="AD14" s="160"/>
      <c r="AE14" s="161">
        <f>SUM(D14:M14)</f>
        <v>8302252</v>
      </c>
      <c r="AF14" s="162">
        <f t="shared" si="3"/>
        <v>8287473</v>
      </c>
      <c r="AG14" s="1"/>
      <c r="AH14" s="1"/>
      <c r="AJ14" s="156">
        <f t="shared" si="4"/>
        <v>0</v>
      </c>
      <c r="AK14" s="156">
        <f t="shared" si="4"/>
        <v>900000</v>
      </c>
      <c r="AL14" s="156">
        <f t="shared" si="4"/>
        <v>0</v>
      </c>
      <c r="AM14" s="156">
        <f t="shared" si="4"/>
        <v>50000</v>
      </c>
      <c r="AN14" s="156">
        <f t="shared" si="4"/>
        <v>1000000</v>
      </c>
      <c r="AO14" s="156">
        <f t="shared" si="4"/>
        <v>1291454</v>
      </c>
      <c r="AP14" s="156">
        <f t="shared" si="4"/>
        <v>0</v>
      </c>
      <c r="AQ14" s="156">
        <f t="shared" si="4"/>
        <v>50000</v>
      </c>
      <c r="AR14" s="156">
        <f t="shared" si="4"/>
        <v>1000000</v>
      </c>
      <c r="AS14" s="156">
        <f t="shared" si="4"/>
        <v>0</v>
      </c>
      <c r="AT14" s="156">
        <f t="shared" si="4"/>
        <v>320000</v>
      </c>
      <c r="AU14" s="163">
        <f t="shared" si="4"/>
        <v>2890798</v>
      </c>
      <c r="AV14" s="164">
        <f t="shared" si="4"/>
        <v>7502252</v>
      </c>
      <c r="AW14" s="165">
        <f>+AV14-AF14</f>
        <v>-785221</v>
      </c>
    </row>
    <row r="15" spans="1:53" ht="16.5" hidden="1" thickBot="1" x14ac:dyDescent="0.25">
      <c r="A15" s="166" t="s">
        <v>69</v>
      </c>
      <c r="B15" s="167" t="s">
        <v>69</v>
      </c>
      <c r="C15" s="168" t="s">
        <v>73</v>
      </c>
      <c r="D15" s="167" t="s">
        <v>74</v>
      </c>
      <c r="E15" s="169">
        <v>6026222</v>
      </c>
      <c r="F15" s="170"/>
      <c r="G15" s="171"/>
      <c r="H15" s="172">
        <v>2276030</v>
      </c>
      <c r="I15" s="171"/>
      <c r="J15" s="173"/>
      <c r="K15" s="171"/>
      <c r="L15" s="173"/>
      <c r="M15" s="171"/>
      <c r="N15" s="173"/>
      <c r="O15" s="171"/>
      <c r="P15" s="173">
        <v>-14779</v>
      </c>
      <c r="Q15" s="171"/>
      <c r="R15" s="171"/>
      <c r="S15" s="171"/>
      <c r="T15" s="171"/>
      <c r="U15" s="173"/>
      <c r="V15" s="171"/>
      <c r="W15" s="173"/>
      <c r="X15" s="171"/>
      <c r="Y15" s="170"/>
      <c r="Z15" s="170"/>
      <c r="AA15" s="171"/>
      <c r="AB15" s="170"/>
      <c r="AC15" s="171"/>
      <c r="AD15" s="173"/>
      <c r="AE15" s="161">
        <f>SUM(D15:M15)</f>
        <v>8302252</v>
      </c>
      <c r="AF15" s="162">
        <f t="shared" si="3"/>
        <v>8287473</v>
      </c>
      <c r="AJ15" s="169">
        <v>0</v>
      </c>
      <c r="AK15" s="169">
        <v>900000</v>
      </c>
      <c r="AL15" s="169">
        <f t="shared" ref="AL15:AT15" si="5">+AL32+AL33</f>
        <v>0</v>
      </c>
      <c r="AM15" s="169">
        <f t="shared" si="5"/>
        <v>50000</v>
      </c>
      <c r="AN15" s="169">
        <f t="shared" si="5"/>
        <v>1000000</v>
      </c>
      <c r="AO15" s="169">
        <f t="shared" si="5"/>
        <v>1291454</v>
      </c>
      <c r="AP15" s="169">
        <f t="shared" si="5"/>
        <v>0</v>
      </c>
      <c r="AQ15" s="169">
        <f t="shared" si="5"/>
        <v>50000</v>
      </c>
      <c r="AR15" s="169">
        <f t="shared" si="5"/>
        <v>1000000</v>
      </c>
      <c r="AS15" s="169">
        <f t="shared" si="5"/>
        <v>0</v>
      </c>
      <c r="AT15" s="169">
        <f t="shared" si="5"/>
        <v>320000</v>
      </c>
      <c r="AU15" s="169">
        <v>2890798</v>
      </c>
      <c r="AV15" s="164">
        <f>SUM(AJ15:AU15)</f>
        <v>7502252</v>
      </c>
      <c r="AW15" s="165">
        <f>+AV15-AF15</f>
        <v>-785221</v>
      </c>
    </row>
    <row r="16" spans="1:53" s="152" customFormat="1" ht="16.5" hidden="1" thickBot="1" x14ac:dyDescent="0.25">
      <c r="A16" s="175" t="s">
        <v>75</v>
      </c>
      <c r="B16" s="176"/>
      <c r="C16" s="176"/>
      <c r="D16" s="177" t="s">
        <v>76</v>
      </c>
      <c r="E16" s="156">
        <v>44305</v>
      </c>
      <c r="F16" s="157"/>
      <c r="G16" s="158"/>
      <c r="H16" s="159"/>
      <c r="I16" s="158"/>
      <c r="J16" s="160"/>
      <c r="K16" s="158"/>
      <c r="L16" s="160"/>
      <c r="M16" s="158"/>
      <c r="N16" s="160"/>
      <c r="O16" s="158"/>
      <c r="P16" s="160"/>
      <c r="Q16" s="158"/>
      <c r="R16" s="158"/>
      <c r="S16" s="158"/>
      <c r="T16" s="158"/>
      <c r="U16" s="160"/>
      <c r="V16" s="158"/>
      <c r="W16" s="160"/>
      <c r="X16" s="158"/>
      <c r="Y16" s="157"/>
      <c r="Z16" s="157"/>
      <c r="AA16" s="158"/>
      <c r="AB16" s="157"/>
      <c r="AC16" s="158"/>
      <c r="AD16" s="160"/>
      <c r="AE16" s="161">
        <f>SUM(D16:M16)</f>
        <v>44305</v>
      </c>
      <c r="AF16" s="162">
        <f t="shared" si="3"/>
        <v>44305</v>
      </c>
      <c r="AG16" s="1"/>
      <c r="AH16" s="1"/>
      <c r="AJ16" s="156">
        <v>4002</v>
      </c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63">
        <v>40303</v>
      </c>
      <c r="AV16" s="164">
        <f>SUM(AJ16:AU16)</f>
        <v>44305</v>
      </c>
      <c r="AW16" s="165">
        <f t="shared" ref="AW16:AW28" si="6">+AF16-AV16</f>
        <v>0</v>
      </c>
    </row>
    <row r="17" spans="1:53" s="152" customFormat="1" ht="16.5" hidden="1" thickBot="1" x14ac:dyDescent="0.25">
      <c r="A17" s="175" t="s">
        <v>77</v>
      </c>
      <c r="B17" s="176"/>
      <c r="C17" s="176"/>
      <c r="D17" s="177" t="s">
        <v>78</v>
      </c>
      <c r="E17" s="157">
        <f t="shared" ref="E17:S17" si="7">SUM(E18:E19)</f>
        <v>312673</v>
      </c>
      <c r="F17" s="157">
        <f t="shared" si="7"/>
        <v>0</v>
      </c>
      <c r="G17" s="158">
        <f t="shared" si="7"/>
        <v>0</v>
      </c>
      <c r="H17" s="159">
        <f t="shared" si="7"/>
        <v>0</v>
      </c>
      <c r="I17" s="158">
        <f t="shared" si="7"/>
        <v>0</v>
      </c>
      <c r="J17" s="160">
        <f t="shared" si="7"/>
        <v>0</v>
      </c>
      <c r="K17" s="158">
        <f t="shared" si="7"/>
        <v>0</v>
      </c>
      <c r="L17" s="160">
        <f t="shared" si="7"/>
        <v>0</v>
      </c>
      <c r="M17" s="158">
        <f t="shared" si="7"/>
        <v>0</v>
      </c>
      <c r="N17" s="160">
        <f t="shared" si="7"/>
        <v>0</v>
      </c>
      <c r="O17" s="158">
        <f t="shared" si="7"/>
        <v>0</v>
      </c>
      <c r="P17" s="160">
        <f t="shared" si="7"/>
        <v>0</v>
      </c>
      <c r="Q17" s="158">
        <f t="shared" si="7"/>
        <v>0</v>
      </c>
      <c r="R17" s="158">
        <f t="shared" si="7"/>
        <v>0</v>
      </c>
      <c r="S17" s="158">
        <f t="shared" si="7"/>
        <v>0</v>
      </c>
      <c r="T17" s="158"/>
      <c r="U17" s="160">
        <f>SUM(U18:U19)</f>
        <v>0</v>
      </c>
      <c r="V17" s="158"/>
      <c r="W17" s="160"/>
      <c r="X17" s="158"/>
      <c r="Y17" s="157"/>
      <c r="Z17" s="157"/>
      <c r="AA17" s="158"/>
      <c r="AB17" s="157"/>
      <c r="AC17" s="158"/>
      <c r="AD17" s="160"/>
      <c r="AE17" s="161">
        <f>SUM(D17:M17)</f>
        <v>312673</v>
      </c>
      <c r="AF17" s="162">
        <f t="shared" si="3"/>
        <v>312673</v>
      </c>
      <c r="AG17" s="1"/>
      <c r="AH17" s="1"/>
      <c r="AJ17" s="156">
        <f t="shared" ref="AJ17:AU17" si="8">+AJ19</f>
        <v>2422</v>
      </c>
      <c r="AK17" s="156">
        <f t="shared" si="8"/>
        <v>0</v>
      </c>
      <c r="AL17" s="156">
        <f t="shared" si="8"/>
        <v>0</v>
      </c>
      <c r="AM17" s="156">
        <f t="shared" si="8"/>
        <v>0</v>
      </c>
      <c r="AN17" s="156">
        <f t="shared" si="8"/>
        <v>0</v>
      </c>
      <c r="AO17" s="156">
        <f t="shared" si="8"/>
        <v>0</v>
      </c>
      <c r="AP17" s="156">
        <f t="shared" si="8"/>
        <v>0</v>
      </c>
      <c r="AQ17" s="156">
        <f t="shared" si="8"/>
        <v>0</v>
      </c>
      <c r="AR17" s="156">
        <f t="shared" si="8"/>
        <v>0</v>
      </c>
      <c r="AS17" s="156">
        <f t="shared" si="8"/>
        <v>0</v>
      </c>
      <c r="AT17" s="156">
        <f t="shared" si="8"/>
        <v>0</v>
      </c>
      <c r="AU17" s="163">
        <f t="shared" si="8"/>
        <v>310251</v>
      </c>
      <c r="AV17" s="164">
        <f>+AV18+AV19</f>
        <v>312673</v>
      </c>
      <c r="AW17" s="165">
        <f t="shared" si="6"/>
        <v>0</v>
      </c>
    </row>
    <row r="18" spans="1:53" s="152" customFormat="1" ht="16.5" hidden="1" thickBot="1" x14ac:dyDescent="0.25">
      <c r="A18" s="175"/>
      <c r="B18" s="178" t="s">
        <v>71</v>
      </c>
      <c r="C18" s="178"/>
      <c r="D18" s="179" t="s">
        <v>79</v>
      </c>
      <c r="E18" s="156"/>
      <c r="F18" s="157"/>
      <c r="G18" s="158"/>
      <c r="H18" s="159"/>
      <c r="I18" s="158"/>
      <c r="J18" s="160"/>
      <c r="K18" s="158"/>
      <c r="L18" s="160"/>
      <c r="M18" s="158"/>
      <c r="N18" s="160"/>
      <c r="O18" s="158"/>
      <c r="P18" s="160"/>
      <c r="Q18" s="158"/>
      <c r="R18" s="158"/>
      <c r="S18" s="158"/>
      <c r="T18" s="158"/>
      <c r="U18" s="160"/>
      <c r="V18" s="158"/>
      <c r="W18" s="160"/>
      <c r="X18" s="158"/>
      <c r="Y18" s="157"/>
      <c r="Z18" s="157"/>
      <c r="AA18" s="158"/>
      <c r="AB18" s="157"/>
      <c r="AC18" s="158"/>
      <c r="AD18" s="160"/>
      <c r="AE18" s="161">
        <f t="shared" ref="AE18:AE30" si="9">SUM(D18:P18)</f>
        <v>0</v>
      </c>
      <c r="AF18" s="162">
        <f t="shared" si="3"/>
        <v>0</v>
      </c>
      <c r="AG18" s="1"/>
      <c r="AH18" s="1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63"/>
      <c r="AV18" s="164">
        <f>SUM(AJ18:AU18)</f>
        <v>0</v>
      </c>
      <c r="AW18" s="165">
        <f t="shared" si="6"/>
        <v>0</v>
      </c>
    </row>
    <row r="19" spans="1:53" ht="16.5" hidden="1" thickBot="1" x14ac:dyDescent="0.25">
      <c r="A19" s="178"/>
      <c r="B19" s="180" t="s">
        <v>80</v>
      </c>
      <c r="C19" s="178"/>
      <c r="D19" s="179" t="s">
        <v>81</v>
      </c>
      <c r="E19" s="169">
        <v>312673</v>
      </c>
      <c r="F19" s="170"/>
      <c r="G19" s="171"/>
      <c r="H19" s="172"/>
      <c r="I19" s="171"/>
      <c r="J19" s="173"/>
      <c r="K19" s="171"/>
      <c r="L19" s="173"/>
      <c r="M19" s="171"/>
      <c r="N19" s="173"/>
      <c r="O19" s="171"/>
      <c r="P19" s="173"/>
      <c r="Q19" s="171"/>
      <c r="R19" s="171"/>
      <c r="S19" s="171"/>
      <c r="T19" s="171"/>
      <c r="U19" s="173"/>
      <c r="V19" s="171"/>
      <c r="W19" s="173"/>
      <c r="X19" s="171"/>
      <c r="Y19" s="170"/>
      <c r="Z19" s="170"/>
      <c r="AA19" s="171"/>
      <c r="AB19" s="170"/>
      <c r="AC19" s="171"/>
      <c r="AD19" s="173"/>
      <c r="AE19" s="161">
        <f t="shared" si="9"/>
        <v>312673</v>
      </c>
      <c r="AF19" s="162">
        <f t="shared" si="3"/>
        <v>312673</v>
      </c>
      <c r="AJ19" s="169">
        <v>2422</v>
      </c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81">
        <v>310251</v>
      </c>
      <c r="AV19" s="164">
        <f>SUM(AJ19:AU19)</f>
        <v>312673</v>
      </c>
      <c r="AW19" s="165">
        <f t="shared" si="6"/>
        <v>0</v>
      </c>
    </row>
    <row r="20" spans="1:53" s="152" customFormat="1" ht="16.5" hidden="1" thickBot="1" x14ac:dyDescent="0.25">
      <c r="A20" s="176" t="s">
        <v>82</v>
      </c>
      <c r="B20" s="176" t="s">
        <v>69</v>
      </c>
      <c r="C20" s="176" t="s">
        <v>69</v>
      </c>
      <c r="D20" s="177" t="s">
        <v>83</v>
      </c>
      <c r="E20" s="156">
        <f t="shared" ref="E20:S20" si="10">+E21</f>
        <v>0</v>
      </c>
      <c r="F20" s="157">
        <f t="shared" si="10"/>
        <v>0</v>
      </c>
      <c r="G20" s="158">
        <f t="shared" si="10"/>
        <v>0</v>
      </c>
      <c r="H20" s="159">
        <f t="shared" si="10"/>
        <v>0</v>
      </c>
      <c r="I20" s="158">
        <f t="shared" si="10"/>
        <v>0</v>
      </c>
      <c r="J20" s="160">
        <f t="shared" si="10"/>
        <v>0</v>
      </c>
      <c r="K20" s="158">
        <f t="shared" si="10"/>
        <v>0</v>
      </c>
      <c r="L20" s="160">
        <f t="shared" si="10"/>
        <v>0</v>
      </c>
      <c r="M20" s="158">
        <f t="shared" si="10"/>
        <v>0</v>
      </c>
      <c r="N20" s="160">
        <f t="shared" si="10"/>
        <v>0</v>
      </c>
      <c r="O20" s="158">
        <f t="shared" si="10"/>
        <v>0</v>
      </c>
      <c r="P20" s="160">
        <f t="shared" si="10"/>
        <v>0</v>
      </c>
      <c r="Q20" s="158">
        <f t="shared" si="10"/>
        <v>0</v>
      </c>
      <c r="R20" s="158">
        <f t="shared" si="10"/>
        <v>0</v>
      </c>
      <c r="S20" s="158">
        <f t="shared" si="10"/>
        <v>0</v>
      </c>
      <c r="T20" s="158"/>
      <c r="U20" s="160">
        <f>+U21</f>
        <v>0</v>
      </c>
      <c r="V20" s="158"/>
      <c r="W20" s="160"/>
      <c r="X20" s="158"/>
      <c r="Y20" s="157"/>
      <c r="Z20" s="157"/>
      <c r="AA20" s="158"/>
      <c r="AB20" s="157"/>
      <c r="AC20" s="158"/>
      <c r="AD20" s="160"/>
      <c r="AE20" s="161">
        <f t="shared" si="9"/>
        <v>0</v>
      </c>
      <c r="AF20" s="162">
        <f t="shared" si="3"/>
        <v>0</v>
      </c>
      <c r="AG20" s="1"/>
      <c r="AH20" s="1"/>
      <c r="AJ20" s="156">
        <f t="shared" ref="AJ20:AU20" si="11">+AJ21</f>
        <v>0</v>
      </c>
      <c r="AK20" s="156">
        <f t="shared" si="11"/>
        <v>0</v>
      </c>
      <c r="AL20" s="156">
        <f t="shared" si="11"/>
        <v>0</v>
      </c>
      <c r="AM20" s="156">
        <f t="shared" si="11"/>
        <v>0</v>
      </c>
      <c r="AN20" s="156">
        <f t="shared" si="11"/>
        <v>0</v>
      </c>
      <c r="AO20" s="156">
        <f t="shared" si="11"/>
        <v>0</v>
      </c>
      <c r="AP20" s="156">
        <f t="shared" si="11"/>
        <v>0</v>
      </c>
      <c r="AQ20" s="156">
        <f t="shared" si="11"/>
        <v>0</v>
      </c>
      <c r="AR20" s="156">
        <f t="shared" si="11"/>
        <v>0</v>
      </c>
      <c r="AS20" s="156">
        <f t="shared" si="11"/>
        <v>0</v>
      </c>
      <c r="AT20" s="156">
        <f t="shared" si="11"/>
        <v>0</v>
      </c>
      <c r="AU20" s="163">
        <f t="shared" si="11"/>
        <v>0</v>
      </c>
      <c r="AV20" s="164">
        <f>AV21</f>
        <v>0</v>
      </c>
      <c r="AW20" s="165">
        <f t="shared" si="6"/>
        <v>0</v>
      </c>
    </row>
    <row r="21" spans="1:53" s="152" customFormat="1" ht="16.5" hidden="1" thickBot="1" x14ac:dyDescent="0.25">
      <c r="A21" s="176" t="s">
        <v>69</v>
      </c>
      <c r="B21" s="175" t="s">
        <v>75</v>
      </c>
      <c r="C21" s="176" t="s">
        <v>69</v>
      </c>
      <c r="D21" s="177" t="s">
        <v>84</v>
      </c>
      <c r="E21" s="156"/>
      <c r="F21" s="157"/>
      <c r="G21" s="158"/>
      <c r="H21" s="159"/>
      <c r="I21" s="158"/>
      <c r="J21" s="160"/>
      <c r="K21" s="158"/>
      <c r="L21" s="160"/>
      <c r="M21" s="158"/>
      <c r="N21" s="160"/>
      <c r="O21" s="158"/>
      <c r="P21" s="160"/>
      <c r="Q21" s="158"/>
      <c r="R21" s="158"/>
      <c r="S21" s="158"/>
      <c r="T21" s="158"/>
      <c r="U21" s="160"/>
      <c r="V21" s="158"/>
      <c r="W21" s="160"/>
      <c r="X21" s="158"/>
      <c r="Y21" s="157"/>
      <c r="Z21" s="157"/>
      <c r="AA21" s="158"/>
      <c r="AB21" s="157"/>
      <c r="AC21" s="158"/>
      <c r="AD21" s="160"/>
      <c r="AE21" s="161">
        <f t="shared" si="9"/>
        <v>0</v>
      </c>
      <c r="AF21" s="162">
        <f t="shared" si="3"/>
        <v>0</v>
      </c>
      <c r="AG21" s="1"/>
      <c r="AH21" s="1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63"/>
      <c r="AV21" s="164">
        <f>SUM(AJ21:AU21)</f>
        <v>0</v>
      </c>
      <c r="AW21" s="165">
        <f t="shared" si="6"/>
        <v>0</v>
      </c>
    </row>
    <row r="22" spans="1:53" s="189" customFormat="1" ht="16.5" hidden="1" thickBot="1" x14ac:dyDescent="0.25">
      <c r="A22" s="182" t="s">
        <v>85</v>
      </c>
      <c r="B22" s="182" t="s">
        <v>69</v>
      </c>
      <c r="C22" s="182" t="s">
        <v>69</v>
      </c>
      <c r="D22" s="183" t="s">
        <v>86</v>
      </c>
      <c r="E22" s="184">
        <f t="shared" ref="E22:S22" si="12">E23</f>
        <v>78527555</v>
      </c>
      <c r="F22" s="185">
        <f t="shared" si="12"/>
        <v>-598876</v>
      </c>
      <c r="G22" s="186">
        <f t="shared" si="12"/>
        <v>1113028</v>
      </c>
      <c r="H22" s="187">
        <f t="shared" si="12"/>
        <v>-2276030</v>
      </c>
      <c r="I22" s="186">
        <f t="shared" si="12"/>
        <v>0</v>
      </c>
      <c r="J22" s="188">
        <f t="shared" si="12"/>
        <v>600000</v>
      </c>
      <c r="K22" s="186">
        <f t="shared" si="12"/>
        <v>450000</v>
      </c>
      <c r="L22" s="188">
        <f t="shared" si="12"/>
        <v>0</v>
      </c>
      <c r="M22" s="186">
        <f t="shared" si="12"/>
        <v>-2115295</v>
      </c>
      <c r="N22" s="188">
        <f t="shared" si="12"/>
        <v>0</v>
      </c>
      <c r="O22" s="186">
        <f t="shared" si="12"/>
        <v>-1000000</v>
      </c>
      <c r="P22" s="188">
        <f t="shared" si="12"/>
        <v>14779</v>
      </c>
      <c r="Q22" s="186">
        <f t="shared" si="12"/>
        <v>0</v>
      </c>
      <c r="R22" s="186">
        <f t="shared" si="12"/>
        <v>0</v>
      </c>
      <c r="S22" s="186">
        <f t="shared" si="12"/>
        <v>0</v>
      </c>
      <c r="T22" s="186"/>
      <c r="U22" s="188">
        <f>U23</f>
        <v>0</v>
      </c>
      <c r="V22" s="186"/>
      <c r="W22" s="188"/>
      <c r="X22" s="186"/>
      <c r="Y22" s="185"/>
      <c r="Z22" s="185"/>
      <c r="AA22" s="186"/>
      <c r="AB22" s="185"/>
      <c r="AC22" s="186"/>
      <c r="AD22" s="188"/>
      <c r="AE22" s="161">
        <f t="shared" si="9"/>
        <v>74715161</v>
      </c>
      <c r="AF22" s="162">
        <f t="shared" si="3"/>
        <v>74715161</v>
      </c>
      <c r="AG22" s="1"/>
      <c r="AH22" s="1"/>
      <c r="AJ22" s="184">
        <f t="shared" ref="AJ22:AV22" si="13">AJ23</f>
        <v>0</v>
      </c>
      <c r="AK22" s="184">
        <f t="shared" si="13"/>
        <v>857709</v>
      </c>
      <c r="AL22" s="184">
        <f t="shared" si="13"/>
        <v>4800078</v>
      </c>
      <c r="AM22" s="184">
        <f t="shared" si="13"/>
        <v>7220349</v>
      </c>
      <c r="AN22" s="184">
        <f t="shared" si="13"/>
        <v>7538581</v>
      </c>
      <c r="AO22" s="184">
        <f t="shared" si="13"/>
        <v>8000476</v>
      </c>
      <c r="AP22" s="184">
        <f t="shared" si="13"/>
        <v>10787456</v>
      </c>
      <c r="AQ22" s="184">
        <f t="shared" si="13"/>
        <v>4656800</v>
      </c>
      <c r="AR22" s="184">
        <f t="shared" si="13"/>
        <v>6742642</v>
      </c>
      <c r="AS22" s="184">
        <f t="shared" si="13"/>
        <v>1458831</v>
      </c>
      <c r="AT22" s="184">
        <f t="shared" si="13"/>
        <v>1364184</v>
      </c>
      <c r="AU22" s="190">
        <f t="shared" si="13"/>
        <v>24100997</v>
      </c>
      <c r="AV22" s="164">
        <f t="shared" si="13"/>
        <v>77528103</v>
      </c>
      <c r="AW22" s="165">
        <f t="shared" si="6"/>
        <v>-2812942</v>
      </c>
    </row>
    <row r="23" spans="1:53" s="152" customFormat="1" ht="16.5" hidden="1" thickBot="1" x14ac:dyDescent="0.25">
      <c r="A23" s="176" t="s">
        <v>69</v>
      </c>
      <c r="B23" s="175" t="s">
        <v>71</v>
      </c>
      <c r="C23" s="175" t="s">
        <v>69</v>
      </c>
      <c r="D23" s="177" t="s">
        <v>72</v>
      </c>
      <c r="E23" s="156">
        <f t="shared" ref="E23:S23" si="14">SUM(E24:E28)</f>
        <v>78527555</v>
      </c>
      <c r="F23" s="157">
        <f t="shared" si="14"/>
        <v>-598876</v>
      </c>
      <c r="G23" s="158">
        <f t="shared" si="14"/>
        <v>1113028</v>
      </c>
      <c r="H23" s="159">
        <f t="shared" si="14"/>
        <v>-2276030</v>
      </c>
      <c r="I23" s="158">
        <f t="shared" si="14"/>
        <v>0</v>
      </c>
      <c r="J23" s="160">
        <f t="shared" si="14"/>
        <v>600000</v>
      </c>
      <c r="K23" s="158">
        <f t="shared" si="14"/>
        <v>450000</v>
      </c>
      <c r="L23" s="160">
        <f t="shared" si="14"/>
        <v>0</v>
      </c>
      <c r="M23" s="158">
        <f t="shared" si="14"/>
        <v>-2115295</v>
      </c>
      <c r="N23" s="160">
        <f t="shared" si="14"/>
        <v>0</v>
      </c>
      <c r="O23" s="158">
        <f t="shared" si="14"/>
        <v>-1000000</v>
      </c>
      <c r="P23" s="160">
        <f t="shared" si="14"/>
        <v>14779</v>
      </c>
      <c r="Q23" s="158">
        <f t="shared" si="14"/>
        <v>0</v>
      </c>
      <c r="R23" s="158">
        <f t="shared" si="14"/>
        <v>0</v>
      </c>
      <c r="S23" s="158">
        <f t="shared" si="14"/>
        <v>0</v>
      </c>
      <c r="T23" s="158"/>
      <c r="U23" s="160">
        <f>SUM(U24:U28)</f>
        <v>0</v>
      </c>
      <c r="V23" s="158"/>
      <c r="W23" s="160"/>
      <c r="X23" s="158"/>
      <c r="Y23" s="157"/>
      <c r="Z23" s="157"/>
      <c r="AA23" s="158"/>
      <c r="AB23" s="157"/>
      <c r="AC23" s="158"/>
      <c r="AD23" s="160"/>
      <c r="AE23" s="161">
        <f t="shared" si="9"/>
        <v>74715161</v>
      </c>
      <c r="AF23" s="162">
        <f t="shared" si="3"/>
        <v>74715161</v>
      </c>
      <c r="AG23" s="1"/>
      <c r="AH23" s="1"/>
      <c r="AJ23" s="156">
        <f t="shared" ref="AJ23:AV23" si="15">SUM(AJ24:AJ28)</f>
        <v>0</v>
      </c>
      <c r="AK23" s="156">
        <f t="shared" si="15"/>
        <v>857709</v>
      </c>
      <c r="AL23" s="156">
        <f t="shared" si="15"/>
        <v>4800078</v>
      </c>
      <c r="AM23" s="156">
        <f t="shared" si="15"/>
        <v>7220349</v>
      </c>
      <c r="AN23" s="156">
        <f t="shared" si="15"/>
        <v>7538581</v>
      </c>
      <c r="AO23" s="156">
        <f t="shared" si="15"/>
        <v>8000476</v>
      </c>
      <c r="AP23" s="156">
        <f t="shared" si="15"/>
        <v>10787456</v>
      </c>
      <c r="AQ23" s="156">
        <f t="shared" si="15"/>
        <v>4656800</v>
      </c>
      <c r="AR23" s="156">
        <f t="shared" si="15"/>
        <v>6742642</v>
      </c>
      <c r="AS23" s="156">
        <f t="shared" si="15"/>
        <v>1458831</v>
      </c>
      <c r="AT23" s="156">
        <f t="shared" si="15"/>
        <v>1364184</v>
      </c>
      <c r="AU23" s="157">
        <f t="shared" si="15"/>
        <v>24100997</v>
      </c>
      <c r="AV23" s="164">
        <f t="shared" si="15"/>
        <v>77528103</v>
      </c>
      <c r="AW23" s="165">
        <f t="shared" si="6"/>
        <v>-2812942</v>
      </c>
    </row>
    <row r="24" spans="1:53" ht="16.5" hidden="1" thickBot="1" x14ac:dyDescent="0.25">
      <c r="A24" s="178" t="s">
        <v>69</v>
      </c>
      <c r="B24" s="180" t="s">
        <v>69</v>
      </c>
      <c r="C24" s="180" t="s">
        <v>73</v>
      </c>
      <c r="D24" s="179" t="s">
        <v>74</v>
      </c>
      <c r="E24" s="169">
        <v>71295712</v>
      </c>
      <c r="F24" s="170">
        <v>-598876</v>
      </c>
      <c r="G24" s="171"/>
      <c r="H24" s="172">
        <v>-2276030</v>
      </c>
      <c r="I24" s="171"/>
      <c r="J24" s="173"/>
      <c r="K24" s="171"/>
      <c r="L24" s="173"/>
      <c r="M24" s="171"/>
      <c r="N24" s="173"/>
      <c r="O24" s="191">
        <v>-1000000</v>
      </c>
      <c r="P24" s="173">
        <v>14779</v>
      </c>
      <c r="Q24" s="191"/>
      <c r="R24" s="191"/>
      <c r="S24" s="191"/>
      <c r="T24" s="171"/>
      <c r="U24" s="173"/>
      <c r="V24" s="191"/>
      <c r="W24" s="192"/>
      <c r="X24" s="191"/>
      <c r="Y24" s="170"/>
      <c r="Z24" s="170"/>
      <c r="AA24" s="191"/>
      <c r="AB24" s="170"/>
      <c r="AC24" s="171"/>
      <c r="AD24" s="192"/>
      <c r="AE24" s="161">
        <f t="shared" si="9"/>
        <v>67435585</v>
      </c>
      <c r="AF24" s="162">
        <f t="shared" si="3"/>
        <v>67435585</v>
      </c>
      <c r="AJ24" s="169">
        <v>0</v>
      </c>
      <c r="AK24" s="169">
        <v>857709</v>
      </c>
      <c r="AL24" s="169">
        <f>5150534-855568</f>
        <v>4294966</v>
      </c>
      <c r="AM24" s="169">
        <f>+AM54+AM61</f>
        <v>7220349</v>
      </c>
      <c r="AN24" s="169">
        <f>+AN54+AN61</f>
        <v>7538581</v>
      </c>
      <c r="AO24" s="169">
        <v>7839066</v>
      </c>
      <c r="AP24" s="169">
        <v>10787456</v>
      </c>
      <c r="AQ24" s="169">
        <f>+AQ54+AQ61</f>
        <v>4656800</v>
      </c>
      <c r="AR24" s="169">
        <v>6364571</v>
      </c>
      <c r="AS24" s="169">
        <f>+AS54+AS61</f>
        <v>1458831</v>
      </c>
      <c r="AT24" s="169">
        <v>1364184</v>
      </c>
      <c r="AU24" s="170">
        <v>17866014</v>
      </c>
      <c r="AV24" s="193">
        <f>SUM(AJ24:AU24)</f>
        <v>70248527</v>
      </c>
      <c r="AW24" s="165">
        <f t="shared" si="6"/>
        <v>-2812942</v>
      </c>
      <c r="AX24" s="40"/>
    </row>
    <row r="25" spans="1:53" ht="16.5" hidden="1" thickBot="1" x14ac:dyDescent="0.25">
      <c r="A25" s="178" t="s">
        <v>69</v>
      </c>
      <c r="B25" s="180" t="s">
        <v>69</v>
      </c>
      <c r="C25" s="180" t="s">
        <v>87</v>
      </c>
      <c r="D25" s="194" t="s">
        <v>88</v>
      </c>
      <c r="E25" s="169">
        <v>52850</v>
      </c>
      <c r="F25" s="170"/>
      <c r="G25" s="171"/>
      <c r="H25" s="172"/>
      <c r="I25" s="171"/>
      <c r="J25" s="173"/>
      <c r="K25" s="171"/>
      <c r="L25" s="173"/>
      <c r="M25" s="171"/>
      <c r="N25" s="173"/>
      <c r="O25" s="171"/>
      <c r="P25" s="173"/>
      <c r="Q25" s="171"/>
      <c r="R25" s="171"/>
      <c r="S25" s="171"/>
      <c r="T25" s="171"/>
      <c r="U25" s="173"/>
      <c r="V25" s="171"/>
      <c r="W25" s="173"/>
      <c r="X25" s="171"/>
      <c r="Y25" s="170"/>
      <c r="Z25" s="170"/>
      <c r="AA25" s="171"/>
      <c r="AB25" s="170"/>
      <c r="AC25" s="171"/>
      <c r="AD25" s="173"/>
      <c r="AE25" s="161">
        <f t="shared" si="9"/>
        <v>52850</v>
      </c>
      <c r="AF25" s="162">
        <f t="shared" si="3"/>
        <v>52850</v>
      </c>
      <c r="AJ25" s="169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81">
        <v>52850</v>
      </c>
      <c r="AV25" s="193">
        <f>SUM(AJ25:AU25)</f>
        <v>52850</v>
      </c>
      <c r="AW25" s="165">
        <f t="shared" si="6"/>
        <v>0</v>
      </c>
    </row>
    <row r="26" spans="1:53" ht="16.5" hidden="1" thickBot="1" x14ac:dyDescent="0.25">
      <c r="A26" s="178"/>
      <c r="B26" s="180"/>
      <c r="C26" s="180" t="s">
        <v>89</v>
      </c>
      <c r="D26" s="194" t="s">
        <v>90</v>
      </c>
      <c r="E26" s="169">
        <v>4457998</v>
      </c>
      <c r="F26" s="170"/>
      <c r="G26" s="171">
        <v>1113028</v>
      </c>
      <c r="H26" s="172"/>
      <c r="I26" s="171"/>
      <c r="J26" s="173">
        <v>600000</v>
      </c>
      <c r="K26" s="171">
        <v>450000</v>
      </c>
      <c r="L26" s="173"/>
      <c r="M26" s="171"/>
      <c r="N26" s="173"/>
      <c r="O26" s="171"/>
      <c r="P26" s="173"/>
      <c r="Q26" s="171"/>
      <c r="R26" s="171"/>
      <c r="S26" s="171"/>
      <c r="T26" s="171"/>
      <c r="U26" s="173"/>
      <c r="V26" s="171"/>
      <c r="W26" s="173"/>
      <c r="X26" s="171"/>
      <c r="Y26" s="170"/>
      <c r="Z26" s="170"/>
      <c r="AA26" s="171"/>
      <c r="AB26" s="170"/>
      <c r="AC26" s="171"/>
      <c r="AD26" s="173"/>
      <c r="AE26" s="161">
        <f t="shared" si="9"/>
        <v>6621026</v>
      </c>
      <c r="AF26" s="162">
        <f t="shared" si="3"/>
        <v>6621026</v>
      </c>
      <c r="AJ26" s="169"/>
      <c r="AK26" s="195"/>
      <c r="AL26" s="195">
        <v>505112</v>
      </c>
      <c r="AM26" s="195"/>
      <c r="AN26" s="195"/>
      <c r="AO26" s="195">
        <v>161410</v>
      </c>
      <c r="AP26" s="195"/>
      <c r="AQ26" s="195"/>
      <c r="AR26" s="195">
        <v>378071</v>
      </c>
      <c r="AS26" s="195"/>
      <c r="AT26" s="195"/>
      <c r="AU26" s="195">
        <v>5576433</v>
      </c>
      <c r="AV26" s="193">
        <f>SUM(AJ26:AU26)</f>
        <v>6621026</v>
      </c>
      <c r="AW26" s="165">
        <f t="shared" si="6"/>
        <v>0</v>
      </c>
    </row>
    <row r="27" spans="1:53" ht="16.5" hidden="1" thickBot="1" x14ac:dyDescent="0.25">
      <c r="A27" s="178"/>
      <c r="B27" s="180"/>
      <c r="C27" s="180" t="s">
        <v>91</v>
      </c>
      <c r="D27" s="194" t="s">
        <v>92</v>
      </c>
      <c r="E27" s="169">
        <v>605700</v>
      </c>
      <c r="F27" s="170"/>
      <c r="G27" s="171"/>
      <c r="H27" s="172"/>
      <c r="I27" s="171"/>
      <c r="J27" s="173"/>
      <c r="K27" s="171"/>
      <c r="L27" s="173"/>
      <c r="M27" s="171"/>
      <c r="N27" s="173"/>
      <c r="O27" s="171"/>
      <c r="P27" s="173"/>
      <c r="Q27" s="171"/>
      <c r="R27" s="171"/>
      <c r="S27" s="171"/>
      <c r="T27" s="171"/>
      <c r="U27" s="173"/>
      <c r="V27" s="171"/>
      <c r="W27" s="173"/>
      <c r="X27" s="171"/>
      <c r="Y27" s="170"/>
      <c r="Z27" s="170"/>
      <c r="AA27" s="171"/>
      <c r="AB27" s="170"/>
      <c r="AC27" s="171"/>
      <c r="AD27" s="173"/>
      <c r="AE27" s="161">
        <f t="shared" si="9"/>
        <v>605700</v>
      </c>
      <c r="AF27" s="162">
        <f t="shared" si="3"/>
        <v>605700</v>
      </c>
      <c r="AJ27" s="169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81">
        <v>605700</v>
      </c>
      <c r="AV27" s="193">
        <f>SUM(AJ27:AU27)</f>
        <v>605700</v>
      </c>
      <c r="AW27" s="165">
        <f t="shared" si="6"/>
        <v>0</v>
      </c>
      <c r="AX27" s="40"/>
    </row>
    <row r="28" spans="1:53" s="203" customFormat="1" ht="16.5" hidden="1" thickBot="1" x14ac:dyDescent="0.25">
      <c r="A28" s="196"/>
      <c r="B28" s="197"/>
      <c r="C28" s="197" t="s">
        <v>93</v>
      </c>
      <c r="D28" s="194" t="s">
        <v>94</v>
      </c>
      <c r="E28" s="198">
        <v>2115295</v>
      </c>
      <c r="F28" s="199"/>
      <c r="G28" s="200"/>
      <c r="H28" s="201"/>
      <c r="I28" s="200"/>
      <c r="J28" s="202"/>
      <c r="K28" s="200"/>
      <c r="L28" s="202"/>
      <c r="M28" s="200">
        <v>-2115295</v>
      </c>
      <c r="N28" s="202"/>
      <c r="O28" s="200"/>
      <c r="P28" s="202"/>
      <c r="Q28" s="200"/>
      <c r="R28" s="200"/>
      <c r="S28" s="200"/>
      <c r="T28" s="200"/>
      <c r="U28" s="202"/>
      <c r="V28" s="200"/>
      <c r="W28" s="202"/>
      <c r="X28" s="200"/>
      <c r="Y28" s="199"/>
      <c r="Z28" s="199"/>
      <c r="AA28" s="200"/>
      <c r="AB28" s="199"/>
      <c r="AC28" s="200"/>
      <c r="AD28" s="202"/>
      <c r="AE28" s="161">
        <f t="shared" si="9"/>
        <v>0</v>
      </c>
      <c r="AF28" s="162">
        <f t="shared" si="3"/>
        <v>0</v>
      </c>
      <c r="AG28" s="1"/>
      <c r="AH28" s="1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>
        <f>+AS52</f>
        <v>0</v>
      </c>
      <c r="AT28" s="198">
        <f>+AT52</f>
        <v>0</v>
      </c>
      <c r="AU28" s="198">
        <f>+AU52</f>
        <v>0</v>
      </c>
      <c r="AV28" s="193">
        <f>SUM(AJ28:AU28)</f>
        <v>0</v>
      </c>
      <c r="AW28" s="165">
        <f t="shared" si="6"/>
        <v>0</v>
      </c>
    </row>
    <row r="29" spans="1:53" s="203" customFormat="1" ht="16.5" hidden="1" thickBot="1" x14ac:dyDescent="0.25">
      <c r="A29" s="196"/>
      <c r="B29" s="197"/>
      <c r="C29" s="197"/>
      <c r="D29" s="194"/>
      <c r="E29" s="198"/>
      <c r="F29" s="199"/>
      <c r="G29" s="200"/>
      <c r="H29" s="201"/>
      <c r="I29" s="200"/>
      <c r="J29" s="202"/>
      <c r="K29" s="200"/>
      <c r="L29" s="202"/>
      <c r="M29" s="200"/>
      <c r="N29" s="202"/>
      <c r="O29" s="200"/>
      <c r="P29" s="202"/>
      <c r="Q29" s="200"/>
      <c r="R29" s="200"/>
      <c r="S29" s="200"/>
      <c r="T29" s="200"/>
      <c r="U29" s="202"/>
      <c r="V29" s="200"/>
      <c r="W29" s="202"/>
      <c r="X29" s="200"/>
      <c r="Y29" s="199"/>
      <c r="Z29" s="199"/>
      <c r="AA29" s="200"/>
      <c r="AB29" s="199"/>
      <c r="AC29" s="200"/>
      <c r="AD29" s="202"/>
      <c r="AE29" s="161">
        <f t="shared" si="9"/>
        <v>0</v>
      </c>
      <c r="AF29" s="162"/>
      <c r="AG29" s="1"/>
      <c r="AH29" s="1"/>
      <c r="AJ29" s="199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204"/>
      <c r="AW29" s="165"/>
    </row>
    <row r="30" spans="1:53" s="152" customFormat="1" ht="16.5" hidden="1" thickBot="1" x14ac:dyDescent="0.25">
      <c r="A30" s="175" t="s">
        <v>95</v>
      </c>
      <c r="B30" s="176"/>
      <c r="C30" s="176"/>
      <c r="D30" s="177" t="s">
        <v>96</v>
      </c>
      <c r="E30" s="156"/>
      <c r="F30" s="157"/>
      <c r="G30" s="158"/>
      <c r="H30" s="159"/>
      <c r="I30" s="158"/>
      <c r="J30" s="160"/>
      <c r="K30" s="158"/>
      <c r="L30" s="160">
        <v>6905166</v>
      </c>
      <c r="M30" s="158"/>
      <c r="N30" s="160"/>
      <c r="O30" s="158"/>
      <c r="P30" s="160"/>
      <c r="Q30" s="158"/>
      <c r="R30" s="158"/>
      <c r="S30" s="158"/>
      <c r="T30" s="158"/>
      <c r="U30" s="160"/>
      <c r="V30" s="158"/>
      <c r="W30" s="160"/>
      <c r="X30" s="158"/>
      <c r="Y30" s="157"/>
      <c r="Z30" s="157"/>
      <c r="AA30" s="158"/>
      <c r="AB30" s="157"/>
      <c r="AC30" s="158"/>
      <c r="AD30" s="160"/>
      <c r="AE30" s="161">
        <f t="shared" si="9"/>
        <v>6905166</v>
      </c>
      <c r="AF30" s="162">
        <f>SUM(E30:U30)</f>
        <v>6905166</v>
      </c>
      <c r="AG30" s="1"/>
      <c r="AH30" s="1"/>
      <c r="AI30" s="205">
        <f>+AJ30-AF30</f>
        <v>2348312</v>
      </c>
      <c r="AJ30" s="206">
        <v>9253478</v>
      </c>
      <c r="AK30" s="207">
        <f t="shared" ref="AK30:AU30" si="16">+AJ207</f>
        <v>9184984</v>
      </c>
      <c r="AL30" s="207">
        <f t="shared" si="16"/>
        <v>6193185</v>
      </c>
      <c r="AM30" s="207">
        <f t="shared" si="16"/>
        <v>4817819</v>
      </c>
      <c r="AN30" s="207">
        <f t="shared" si="16"/>
        <v>4817819</v>
      </c>
      <c r="AO30" s="207">
        <f t="shared" si="16"/>
        <v>4817819</v>
      </c>
      <c r="AP30" s="207">
        <f t="shared" si="16"/>
        <v>6013402</v>
      </c>
      <c r="AQ30" s="207">
        <f t="shared" si="16"/>
        <v>11922578</v>
      </c>
      <c r="AR30" s="207">
        <f t="shared" si="16"/>
        <v>11922578</v>
      </c>
      <c r="AS30" s="207">
        <f t="shared" si="16"/>
        <v>11924350</v>
      </c>
      <c r="AT30" s="207">
        <f t="shared" si="16"/>
        <v>11924350</v>
      </c>
      <c r="AU30" s="208">
        <f t="shared" si="16"/>
        <v>11924350</v>
      </c>
      <c r="AV30" s="209">
        <f>+AJ30</f>
        <v>9253478</v>
      </c>
      <c r="AW30" s="165"/>
    </row>
    <row r="31" spans="1:53" s="152" customFormat="1" ht="16.5" thickBot="1" x14ac:dyDescent="0.25">
      <c r="A31" s="136" t="s">
        <v>64</v>
      </c>
      <c r="B31" s="137" t="s">
        <v>65</v>
      </c>
      <c r="C31" s="137" t="s">
        <v>66</v>
      </c>
      <c r="D31" s="210" t="s">
        <v>97</v>
      </c>
      <c r="E31" s="211">
        <f t="shared" ref="E31:AD31" si="17">E32+E33+E42+E45+E53+E57+E60+E203+E205+E51</f>
        <v>84910755</v>
      </c>
      <c r="F31" s="212">
        <f t="shared" si="17"/>
        <v>-598876</v>
      </c>
      <c r="G31" s="212">
        <f t="shared" si="17"/>
        <v>1113028</v>
      </c>
      <c r="H31" s="213">
        <f t="shared" si="17"/>
        <v>0</v>
      </c>
      <c r="I31" s="214">
        <f t="shared" si="17"/>
        <v>0</v>
      </c>
      <c r="J31" s="212">
        <f t="shared" si="17"/>
        <v>600000</v>
      </c>
      <c r="K31" s="212">
        <f t="shared" si="17"/>
        <v>450000</v>
      </c>
      <c r="L31" s="213">
        <f t="shared" si="17"/>
        <v>6905166</v>
      </c>
      <c r="M31" s="214">
        <f t="shared" si="17"/>
        <v>-2115295</v>
      </c>
      <c r="N31" s="212">
        <f t="shared" si="17"/>
        <v>343590</v>
      </c>
      <c r="O31" s="212">
        <f t="shared" si="17"/>
        <v>-1000000</v>
      </c>
      <c r="P31" s="213">
        <f t="shared" si="17"/>
        <v>0</v>
      </c>
      <c r="Q31" s="214">
        <f t="shared" si="17"/>
        <v>0</v>
      </c>
      <c r="R31" s="214">
        <f t="shared" si="17"/>
        <v>0</v>
      </c>
      <c r="S31" s="214">
        <f t="shared" si="17"/>
        <v>0</v>
      </c>
      <c r="T31" s="214">
        <f t="shared" si="17"/>
        <v>-65000</v>
      </c>
      <c r="U31" s="213">
        <f t="shared" si="17"/>
        <v>0</v>
      </c>
      <c r="V31" s="214">
        <f t="shared" si="17"/>
        <v>0</v>
      </c>
      <c r="W31" s="213">
        <f t="shared" si="17"/>
        <v>0</v>
      </c>
      <c r="X31" s="214">
        <f t="shared" si="17"/>
        <v>-976461</v>
      </c>
      <c r="Y31" s="212">
        <f t="shared" si="17"/>
        <v>240279</v>
      </c>
      <c r="Z31" s="212">
        <f t="shared" si="17"/>
        <v>124363</v>
      </c>
      <c r="AA31" s="214">
        <f t="shared" si="17"/>
        <v>0</v>
      </c>
      <c r="AB31" s="212">
        <f t="shared" si="17"/>
        <v>313650</v>
      </c>
      <c r="AC31" s="141">
        <f t="shared" si="17"/>
        <v>1014000</v>
      </c>
      <c r="AD31" s="213">
        <f t="shared" si="17"/>
        <v>0</v>
      </c>
      <c r="AE31" s="215">
        <f>+AE32+AE33+AE42+AE45+AE51+AE53+AE57+AE60+AE203</f>
        <v>91259199</v>
      </c>
      <c r="AF31" s="216">
        <f>+AF32+AF33+AF42+AF45+AF51+AF53+AF57+AF60+AF203</f>
        <v>91259199</v>
      </c>
      <c r="AG31" s="96"/>
      <c r="AH31" s="5">
        <f t="shared" ref="AH31:AH54" si="18">+AA31+V31</f>
        <v>0</v>
      </c>
      <c r="AI31" s="217"/>
      <c r="AJ31" s="218">
        <f t="shared" ref="AJ31:AV31" si="19">AJ32+AJ33+AJ43+AJ46+AJ54+AJ58+AJ61+AJ204+AJ206+AJ52</f>
        <v>74918</v>
      </c>
      <c r="AK31" s="218">
        <f t="shared" si="19"/>
        <v>4749508</v>
      </c>
      <c r="AL31" s="218">
        <f t="shared" si="19"/>
        <v>6175444</v>
      </c>
      <c r="AM31" s="218">
        <f t="shared" si="19"/>
        <v>7270349</v>
      </c>
      <c r="AN31" s="218">
        <f t="shared" si="19"/>
        <v>8538581</v>
      </c>
      <c r="AO31" s="218">
        <f t="shared" si="19"/>
        <v>8096347</v>
      </c>
      <c r="AP31" s="218">
        <f t="shared" si="19"/>
        <v>4878280</v>
      </c>
      <c r="AQ31" s="218">
        <f t="shared" si="19"/>
        <v>4706800</v>
      </c>
      <c r="AR31" s="218">
        <f t="shared" si="19"/>
        <v>7740870</v>
      </c>
      <c r="AS31" s="218">
        <f t="shared" si="19"/>
        <v>1458831</v>
      </c>
      <c r="AT31" s="218">
        <f t="shared" si="19"/>
        <v>1684184</v>
      </c>
      <c r="AU31" s="218">
        <f t="shared" si="19"/>
        <v>32739592</v>
      </c>
      <c r="AV31" s="218">
        <f t="shared" si="19"/>
        <v>94640811</v>
      </c>
      <c r="AW31" s="219">
        <f>+AW32+AW33+AW52+AW54+AW98</f>
        <v>-5030213</v>
      </c>
      <c r="AX31" s="220" t="s">
        <v>98</v>
      </c>
      <c r="AY31" s="221" t="s">
        <v>99</v>
      </c>
      <c r="AZ31" s="221" t="s">
        <v>99</v>
      </c>
      <c r="BA31" s="221" t="s">
        <v>99</v>
      </c>
    </row>
    <row r="32" spans="1:53" s="152" customFormat="1" ht="16.5" thickBot="1" x14ac:dyDescent="0.25">
      <c r="A32" s="222" t="s">
        <v>100</v>
      </c>
      <c r="B32" s="222"/>
      <c r="C32" s="223"/>
      <c r="D32" s="224" t="s">
        <v>101</v>
      </c>
      <c r="E32" s="225">
        <v>233130</v>
      </c>
      <c r="F32" s="225"/>
      <c r="G32" s="225"/>
      <c r="H32" s="226">
        <v>-70198</v>
      </c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7"/>
      <c r="AD32" s="225"/>
      <c r="AE32" s="228">
        <f>SUM(E32:U32)+W32+X32+Y32+Z32+AB32+AC32</f>
        <v>162932</v>
      </c>
      <c r="AF32" s="229">
        <f>SUM(E32:AD32)</f>
        <v>162932</v>
      </c>
      <c r="AG32" s="96"/>
      <c r="AH32" s="5">
        <f t="shared" si="18"/>
        <v>0</v>
      </c>
      <c r="AI32" s="41"/>
      <c r="AJ32" s="230"/>
      <c r="AK32" s="230"/>
      <c r="AL32" s="230"/>
      <c r="AM32" s="230">
        <v>50000</v>
      </c>
      <c r="AN32" s="230"/>
      <c r="AO32" s="230">
        <v>50000</v>
      </c>
      <c r="AP32" s="230"/>
      <c r="AQ32" s="230">
        <v>50000</v>
      </c>
      <c r="AR32" s="230"/>
      <c r="AS32" s="230"/>
      <c r="AT32" s="230"/>
      <c r="AU32" s="231">
        <v>12932</v>
      </c>
      <c r="AV32" s="193">
        <f>SUM(AJ32:AU32)</f>
        <v>162932</v>
      </c>
      <c r="AW32" s="232">
        <f t="shared" ref="AW32:AW37" si="20">+AF32-AV32</f>
        <v>0</v>
      </c>
      <c r="AX32" s="233" t="s">
        <v>102</v>
      </c>
      <c r="AY32" s="234">
        <f>+E32+E33+E45+E51+E53+E61+E97</f>
        <v>84910755</v>
      </c>
      <c r="AZ32" s="235"/>
      <c r="BA32" s="236"/>
    </row>
    <row r="33" spans="1:53" s="152" customFormat="1" ht="16.5" thickBot="1" x14ac:dyDescent="0.25">
      <c r="A33" s="175" t="s">
        <v>103</v>
      </c>
      <c r="B33" s="176"/>
      <c r="C33" s="237"/>
      <c r="D33" s="238" t="s">
        <v>70</v>
      </c>
      <c r="E33" s="225">
        <f t="shared" ref="E33:AD33" si="21">E34+E37</f>
        <v>5793092</v>
      </c>
      <c r="F33" s="225">
        <f t="shared" si="21"/>
        <v>0</v>
      </c>
      <c r="G33" s="225">
        <f t="shared" si="21"/>
        <v>0</v>
      </c>
      <c r="H33" s="226">
        <f t="shared" si="21"/>
        <v>2346228</v>
      </c>
      <c r="I33" s="225">
        <f t="shared" si="21"/>
        <v>0</v>
      </c>
      <c r="J33" s="225">
        <f t="shared" si="21"/>
        <v>0</v>
      </c>
      <c r="K33" s="225">
        <f t="shared" si="21"/>
        <v>0</v>
      </c>
      <c r="L33" s="225">
        <f t="shared" si="21"/>
        <v>0</v>
      </c>
      <c r="M33" s="225">
        <f t="shared" si="21"/>
        <v>0</v>
      </c>
      <c r="N33" s="225">
        <f t="shared" si="21"/>
        <v>0</v>
      </c>
      <c r="O33" s="225">
        <f t="shared" si="21"/>
        <v>0</v>
      </c>
      <c r="P33" s="225">
        <f t="shared" si="21"/>
        <v>-14779</v>
      </c>
      <c r="Q33" s="225">
        <f t="shared" si="21"/>
        <v>0</v>
      </c>
      <c r="R33" s="225">
        <f t="shared" si="21"/>
        <v>0</v>
      </c>
      <c r="S33" s="225">
        <f t="shared" si="21"/>
        <v>0</v>
      </c>
      <c r="T33" s="225">
        <f t="shared" si="21"/>
        <v>0</v>
      </c>
      <c r="U33" s="225">
        <f t="shared" si="21"/>
        <v>57019</v>
      </c>
      <c r="V33" s="225">
        <f t="shared" si="21"/>
        <v>0</v>
      </c>
      <c r="W33" s="225">
        <f t="shared" si="21"/>
        <v>0</v>
      </c>
      <c r="X33" s="225">
        <f t="shared" si="21"/>
        <v>0</v>
      </c>
      <c r="Y33" s="225">
        <f t="shared" si="21"/>
        <v>0</v>
      </c>
      <c r="Z33" s="225">
        <f t="shared" si="21"/>
        <v>0</v>
      </c>
      <c r="AA33" s="225">
        <f t="shared" si="21"/>
        <v>0</v>
      </c>
      <c r="AB33" s="225">
        <f t="shared" si="21"/>
        <v>0</v>
      </c>
      <c r="AC33" s="225">
        <f t="shared" si="21"/>
        <v>0</v>
      </c>
      <c r="AD33" s="225">
        <f t="shared" si="21"/>
        <v>0</v>
      </c>
      <c r="AE33" s="239">
        <f t="shared" ref="AE33:AE96" si="22">SUM(E33:U33)+W33+X33+Y33+Z33+AB33+AC33</f>
        <v>8181560</v>
      </c>
      <c r="AF33" s="240">
        <f>SUM(E33:AD33)</f>
        <v>8181560</v>
      </c>
      <c r="AG33" s="96"/>
      <c r="AH33" s="5">
        <f t="shared" si="18"/>
        <v>0</v>
      </c>
      <c r="AI33" s="41"/>
      <c r="AJ33" s="157">
        <f t="shared" ref="AJ33:AV33" si="23">AJ34+AJ37</f>
        <v>0</v>
      </c>
      <c r="AK33" s="157">
        <f t="shared" si="23"/>
        <v>900000</v>
      </c>
      <c r="AL33" s="157">
        <f t="shared" si="23"/>
        <v>0</v>
      </c>
      <c r="AM33" s="157">
        <f t="shared" si="23"/>
        <v>0</v>
      </c>
      <c r="AN33" s="157">
        <f t="shared" si="23"/>
        <v>1000000</v>
      </c>
      <c r="AO33" s="157">
        <f t="shared" si="23"/>
        <v>1241454</v>
      </c>
      <c r="AP33" s="157">
        <f t="shared" si="23"/>
        <v>0</v>
      </c>
      <c r="AQ33" s="157">
        <f t="shared" si="23"/>
        <v>0</v>
      </c>
      <c r="AR33" s="157">
        <f t="shared" si="23"/>
        <v>1000000</v>
      </c>
      <c r="AS33" s="157">
        <f t="shared" si="23"/>
        <v>0</v>
      </c>
      <c r="AT33" s="157">
        <f t="shared" si="23"/>
        <v>320000</v>
      </c>
      <c r="AU33" s="163">
        <f t="shared" si="23"/>
        <v>1818000</v>
      </c>
      <c r="AV33" s="241">
        <f t="shared" si="23"/>
        <v>6279454</v>
      </c>
      <c r="AW33" s="232">
        <f t="shared" si="20"/>
        <v>1902106</v>
      </c>
      <c r="AX33" s="242" t="s">
        <v>104</v>
      </c>
      <c r="AY33" s="243">
        <f>+AY32+F31+G31+H31+I31+J31+K31+M31</f>
        <v>84359612</v>
      </c>
      <c r="AZ33" s="242"/>
      <c r="BA33" s="244"/>
    </row>
    <row r="34" spans="1:53" s="152" customFormat="1" ht="16.5" thickBot="1" x14ac:dyDescent="0.25">
      <c r="A34" s="176"/>
      <c r="B34" s="175" t="s">
        <v>105</v>
      </c>
      <c r="C34" s="237"/>
      <c r="D34" s="238" t="s">
        <v>106</v>
      </c>
      <c r="E34" s="225">
        <f t="shared" ref="E34:AD34" si="24">SUM(E35:E36)</f>
        <v>4814296</v>
      </c>
      <c r="F34" s="225">
        <f t="shared" si="24"/>
        <v>0</v>
      </c>
      <c r="G34" s="225">
        <f t="shared" si="24"/>
        <v>0</v>
      </c>
      <c r="H34" s="226">
        <f t="shared" si="24"/>
        <v>465158</v>
      </c>
      <c r="I34" s="225">
        <f t="shared" si="24"/>
        <v>0</v>
      </c>
      <c r="J34" s="225">
        <f t="shared" si="24"/>
        <v>0</v>
      </c>
      <c r="K34" s="225">
        <f t="shared" si="24"/>
        <v>0</v>
      </c>
      <c r="L34" s="225">
        <f t="shared" si="24"/>
        <v>0</v>
      </c>
      <c r="M34" s="225">
        <f t="shared" si="24"/>
        <v>0</v>
      </c>
      <c r="N34" s="225">
        <f t="shared" si="24"/>
        <v>0</v>
      </c>
      <c r="O34" s="225">
        <f t="shared" si="24"/>
        <v>0</v>
      </c>
      <c r="P34" s="225">
        <f t="shared" si="24"/>
        <v>0</v>
      </c>
      <c r="Q34" s="225">
        <f t="shared" si="24"/>
        <v>0</v>
      </c>
      <c r="R34" s="225">
        <f t="shared" si="24"/>
        <v>0</v>
      </c>
      <c r="S34" s="225">
        <f t="shared" si="24"/>
        <v>0</v>
      </c>
      <c r="T34" s="225">
        <f t="shared" si="24"/>
        <v>0</v>
      </c>
      <c r="U34" s="225">
        <f t="shared" si="24"/>
        <v>0</v>
      </c>
      <c r="V34" s="225">
        <f t="shared" si="24"/>
        <v>0</v>
      </c>
      <c r="W34" s="225">
        <f t="shared" si="24"/>
        <v>0</v>
      </c>
      <c r="X34" s="225">
        <f t="shared" si="24"/>
        <v>0</v>
      </c>
      <c r="Y34" s="225">
        <f t="shared" si="24"/>
        <v>0</v>
      </c>
      <c r="Z34" s="225">
        <f t="shared" si="24"/>
        <v>0</v>
      </c>
      <c r="AA34" s="225">
        <f t="shared" si="24"/>
        <v>0</v>
      </c>
      <c r="AB34" s="225">
        <f t="shared" si="24"/>
        <v>0</v>
      </c>
      <c r="AC34" s="225">
        <f t="shared" si="24"/>
        <v>0</v>
      </c>
      <c r="AD34" s="225">
        <f t="shared" si="24"/>
        <v>0</v>
      </c>
      <c r="AE34" s="239">
        <f t="shared" si="22"/>
        <v>5279454</v>
      </c>
      <c r="AF34" s="240">
        <f t="shared" ref="AF34:AF96" si="25">SUM(E34:AD34)</f>
        <v>5279454</v>
      </c>
      <c r="AG34" s="96"/>
      <c r="AH34" s="5">
        <f t="shared" si="18"/>
        <v>0</v>
      </c>
      <c r="AI34" s="41"/>
      <c r="AJ34" s="157">
        <f t="shared" ref="AJ34:AV34" si="26">SUM(AJ35:AJ36)</f>
        <v>0</v>
      </c>
      <c r="AK34" s="157">
        <f t="shared" si="26"/>
        <v>900000</v>
      </c>
      <c r="AL34" s="157">
        <f t="shared" si="26"/>
        <v>0</v>
      </c>
      <c r="AM34" s="157">
        <f t="shared" si="26"/>
        <v>0</v>
      </c>
      <c r="AN34" s="157">
        <f t="shared" si="26"/>
        <v>1000000</v>
      </c>
      <c r="AO34" s="157">
        <f t="shared" si="26"/>
        <v>1241454</v>
      </c>
      <c r="AP34" s="157">
        <f t="shared" si="26"/>
        <v>0</v>
      </c>
      <c r="AQ34" s="157">
        <f t="shared" si="26"/>
        <v>0</v>
      </c>
      <c r="AR34" s="157">
        <f t="shared" si="26"/>
        <v>1000000</v>
      </c>
      <c r="AS34" s="157">
        <f t="shared" si="26"/>
        <v>0</v>
      </c>
      <c r="AT34" s="157">
        <f t="shared" si="26"/>
        <v>320000</v>
      </c>
      <c r="AU34" s="163">
        <f t="shared" si="26"/>
        <v>818000</v>
      </c>
      <c r="AV34" s="245">
        <f t="shared" si="26"/>
        <v>5279454</v>
      </c>
      <c r="AW34" s="232">
        <f t="shared" si="20"/>
        <v>0</v>
      </c>
      <c r="AX34" s="242" t="s">
        <v>12</v>
      </c>
      <c r="AY34" s="243">
        <f>+AY33+N31+O31</f>
        <v>83703202</v>
      </c>
      <c r="AZ34" s="243">
        <f>+'[1]MAULE 50'!I43</f>
        <v>2115295</v>
      </c>
      <c r="BA34" s="243">
        <f>SUM(AY34:AZ34)</f>
        <v>85818497</v>
      </c>
    </row>
    <row r="35" spans="1:53" ht="19.5" customHeight="1" thickBot="1" x14ac:dyDescent="0.25">
      <c r="A35" s="178"/>
      <c r="B35" s="178"/>
      <c r="C35" s="246" t="s">
        <v>107</v>
      </c>
      <c r="D35" s="247" t="s">
        <v>108</v>
      </c>
      <c r="E35" s="248">
        <v>818000</v>
      </c>
      <c r="F35" s="248"/>
      <c r="G35" s="248"/>
      <c r="H35" s="249">
        <v>241454</v>
      </c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39">
        <f t="shared" si="22"/>
        <v>1059454</v>
      </c>
      <c r="AF35" s="240">
        <f t="shared" si="25"/>
        <v>1059454</v>
      </c>
      <c r="AG35" s="96"/>
      <c r="AH35" s="5">
        <f t="shared" si="18"/>
        <v>0</v>
      </c>
      <c r="AI35" s="41"/>
      <c r="AJ35" s="170"/>
      <c r="AK35" s="170"/>
      <c r="AL35" s="170"/>
      <c r="AM35" s="170"/>
      <c r="AN35" s="170"/>
      <c r="AO35" s="170">
        <v>241454</v>
      </c>
      <c r="AP35" s="170"/>
      <c r="AQ35" s="170"/>
      <c r="AR35" s="170"/>
      <c r="AS35" s="170"/>
      <c r="AT35" s="170"/>
      <c r="AU35" s="181">
        <v>818000</v>
      </c>
      <c r="AV35" s="193">
        <f>SUM(AJ35:AU35)</f>
        <v>1059454</v>
      </c>
      <c r="AW35" s="232">
        <f t="shared" si="20"/>
        <v>0</v>
      </c>
      <c r="AX35" s="242" t="s">
        <v>13</v>
      </c>
      <c r="AY35" s="243">
        <f>AY34</f>
        <v>83703202</v>
      </c>
      <c r="AZ35" s="243">
        <v>2115295</v>
      </c>
      <c r="BA35" s="243">
        <f t="shared" ref="BA35:BA37" si="27">SUM(AY35:AZ35)</f>
        <v>85818497</v>
      </c>
    </row>
    <row r="36" spans="1:53" ht="21" customHeight="1" thickBot="1" x14ac:dyDescent="0.25">
      <c r="A36" s="178"/>
      <c r="B36" s="178"/>
      <c r="C36" s="250">
        <v>100</v>
      </c>
      <c r="D36" s="251" t="s">
        <v>109</v>
      </c>
      <c r="E36" s="225">
        <v>3996296</v>
      </c>
      <c r="F36" s="248"/>
      <c r="G36" s="248"/>
      <c r="H36" s="249">
        <v>223704</v>
      </c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9">
        <f t="shared" si="22"/>
        <v>4220000</v>
      </c>
      <c r="AF36" s="240">
        <f t="shared" si="25"/>
        <v>4220000</v>
      </c>
      <c r="AG36" s="96"/>
      <c r="AH36" s="5">
        <f t="shared" si="18"/>
        <v>0</v>
      </c>
      <c r="AI36" s="41"/>
      <c r="AJ36" s="170"/>
      <c r="AK36" s="170">
        <v>900000</v>
      </c>
      <c r="AL36" s="170"/>
      <c r="AM36" s="170"/>
      <c r="AN36" s="170">
        <v>1000000</v>
      </c>
      <c r="AO36" s="170">
        <v>1000000</v>
      </c>
      <c r="AP36" s="170"/>
      <c r="AQ36" s="170"/>
      <c r="AR36" s="170">
        <v>1000000</v>
      </c>
      <c r="AS36" s="170"/>
      <c r="AT36" s="170">
        <v>320000</v>
      </c>
      <c r="AU36" s="181"/>
      <c r="AV36" s="193">
        <f>SUM(AJ36:AU36)</f>
        <v>4220000</v>
      </c>
      <c r="AW36" s="232">
        <f t="shared" si="20"/>
        <v>0</v>
      </c>
      <c r="AX36" s="242" t="s">
        <v>14</v>
      </c>
      <c r="AY36" s="243">
        <f>SUM(E31:T31)+W31+Y31+Z31+AB31-AE92-AE203</f>
        <v>81861291</v>
      </c>
      <c r="AZ36" s="243">
        <v>2115295</v>
      </c>
      <c r="BA36" s="243">
        <f t="shared" si="27"/>
        <v>83976586</v>
      </c>
    </row>
    <row r="37" spans="1:53" s="152" customFormat="1" ht="24.75" customHeight="1" thickBot="1" x14ac:dyDescent="0.25">
      <c r="A37" s="176"/>
      <c r="B37" s="175" t="s">
        <v>110</v>
      </c>
      <c r="C37" s="237"/>
      <c r="D37" s="238" t="s">
        <v>111</v>
      </c>
      <c r="E37" s="225">
        <f t="shared" ref="E37:AD37" si="28">SUM(E38:E41)</f>
        <v>978796</v>
      </c>
      <c r="F37" s="225">
        <f t="shared" si="28"/>
        <v>0</v>
      </c>
      <c r="G37" s="225">
        <f t="shared" si="28"/>
        <v>0</v>
      </c>
      <c r="H37" s="225">
        <f t="shared" si="28"/>
        <v>1881070</v>
      </c>
      <c r="I37" s="225">
        <f t="shared" si="28"/>
        <v>0</v>
      </c>
      <c r="J37" s="225">
        <f t="shared" si="28"/>
        <v>0</v>
      </c>
      <c r="K37" s="225">
        <f t="shared" si="28"/>
        <v>0</v>
      </c>
      <c r="L37" s="225">
        <f t="shared" si="28"/>
        <v>0</v>
      </c>
      <c r="M37" s="225">
        <f t="shared" si="28"/>
        <v>0</v>
      </c>
      <c r="N37" s="225">
        <f t="shared" si="28"/>
        <v>0</v>
      </c>
      <c r="O37" s="225">
        <f t="shared" si="28"/>
        <v>0</v>
      </c>
      <c r="P37" s="225">
        <f t="shared" si="28"/>
        <v>-14779</v>
      </c>
      <c r="Q37" s="225">
        <f t="shared" si="28"/>
        <v>0</v>
      </c>
      <c r="R37" s="225">
        <f t="shared" si="28"/>
        <v>0</v>
      </c>
      <c r="S37" s="225">
        <f t="shared" si="28"/>
        <v>0</v>
      </c>
      <c r="T37" s="225">
        <f t="shared" si="28"/>
        <v>0</v>
      </c>
      <c r="U37" s="225">
        <f t="shared" si="28"/>
        <v>57019</v>
      </c>
      <c r="V37" s="225">
        <f t="shared" si="28"/>
        <v>0</v>
      </c>
      <c r="W37" s="225">
        <f t="shared" si="28"/>
        <v>0</v>
      </c>
      <c r="X37" s="225">
        <f t="shared" si="28"/>
        <v>0</v>
      </c>
      <c r="Y37" s="225">
        <f t="shared" si="28"/>
        <v>0</v>
      </c>
      <c r="Z37" s="225">
        <f t="shared" si="28"/>
        <v>0</v>
      </c>
      <c r="AA37" s="225">
        <f t="shared" si="28"/>
        <v>0</v>
      </c>
      <c r="AB37" s="225">
        <f t="shared" si="28"/>
        <v>0</v>
      </c>
      <c r="AC37" s="225">
        <f t="shared" si="28"/>
        <v>0</v>
      </c>
      <c r="AD37" s="225">
        <f t="shared" si="28"/>
        <v>0</v>
      </c>
      <c r="AE37" s="239">
        <f t="shared" si="22"/>
        <v>2902106</v>
      </c>
      <c r="AF37" s="240">
        <f t="shared" si="25"/>
        <v>2902106</v>
      </c>
      <c r="AG37" s="96"/>
      <c r="AH37" s="5">
        <f t="shared" si="18"/>
        <v>0</v>
      </c>
      <c r="AI37" s="41"/>
      <c r="AJ37" s="156">
        <f t="shared" ref="AJ37:AV37" si="29">SUM(AJ38:AJ42)</f>
        <v>0</v>
      </c>
      <c r="AK37" s="156">
        <f t="shared" si="29"/>
        <v>0</v>
      </c>
      <c r="AL37" s="156">
        <f t="shared" si="29"/>
        <v>0</v>
      </c>
      <c r="AM37" s="156">
        <f t="shared" si="29"/>
        <v>0</v>
      </c>
      <c r="AN37" s="156">
        <f t="shared" si="29"/>
        <v>0</v>
      </c>
      <c r="AO37" s="156">
        <f t="shared" si="29"/>
        <v>0</v>
      </c>
      <c r="AP37" s="156">
        <f t="shared" si="29"/>
        <v>0</v>
      </c>
      <c r="AQ37" s="156">
        <f t="shared" si="29"/>
        <v>0</v>
      </c>
      <c r="AR37" s="156">
        <f t="shared" si="29"/>
        <v>0</v>
      </c>
      <c r="AS37" s="156">
        <f t="shared" si="29"/>
        <v>0</v>
      </c>
      <c r="AT37" s="156">
        <f t="shared" si="29"/>
        <v>0</v>
      </c>
      <c r="AU37" s="156">
        <f t="shared" si="29"/>
        <v>1000000</v>
      </c>
      <c r="AV37" s="245">
        <f t="shared" si="29"/>
        <v>1000000</v>
      </c>
      <c r="AW37" s="232">
        <f t="shared" si="20"/>
        <v>1902106</v>
      </c>
      <c r="AX37" s="242" t="s">
        <v>15</v>
      </c>
      <c r="AY37" s="252">
        <f>+AY36+U31+W31++AC31+X31-AF57</f>
        <v>81299554</v>
      </c>
      <c r="AZ37" s="243">
        <v>2115295</v>
      </c>
      <c r="BA37" s="252">
        <f t="shared" si="27"/>
        <v>83414849</v>
      </c>
    </row>
    <row r="38" spans="1:53" ht="38.25" customHeight="1" thickBot="1" x14ac:dyDescent="0.25">
      <c r="A38" s="178"/>
      <c r="B38" s="180"/>
      <c r="C38" s="250" t="s">
        <v>112</v>
      </c>
      <c r="D38" s="253" t="s">
        <v>113</v>
      </c>
      <c r="E38" s="248"/>
      <c r="F38" s="248"/>
      <c r="G38" s="248"/>
      <c r="H38" s="249">
        <v>500000</v>
      </c>
      <c r="I38" s="248"/>
      <c r="J38" s="248"/>
      <c r="K38" s="248"/>
      <c r="L38" s="248"/>
      <c r="M38" s="248"/>
      <c r="N38" s="248"/>
      <c r="O38" s="248"/>
      <c r="P38" s="248">
        <v>372000</v>
      </c>
      <c r="Q38" s="248"/>
      <c r="R38" s="248"/>
      <c r="S38" s="248"/>
      <c r="T38" s="248"/>
      <c r="U38" s="248">
        <v>-76178</v>
      </c>
      <c r="V38" s="248"/>
      <c r="W38" s="248"/>
      <c r="X38" s="248"/>
      <c r="Y38" s="248"/>
      <c r="Z38" s="248"/>
      <c r="AA38" s="248"/>
      <c r="AB38" s="248"/>
      <c r="AC38" s="248"/>
      <c r="AD38" s="248"/>
      <c r="AE38" s="239">
        <f t="shared" si="22"/>
        <v>795822</v>
      </c>
      <c r="AF38" s="240">
        <f t="shared" si="25"/>
        <v>795822</v>
      </c>
      <c r="AG38" s="96"/>
      <c r="AH38" s="5">
        <f t="shared" si="18"/>
        <v>0</v>
      </c>
      <c r="AI38" s="41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81"/>
      <c r="AV38" s="254"/>
      <c r="AW38" s="232"/>
      <c r="AX38" s="255"/>
      <c r="AY38" s="5"/>
    </row>
    <row r="39" spans="1:53" ht="41.25" customHeight="1" thickBot="1" x14ac:dyDescent="0.25">
      <c r="A39" s="178"/>
      <c r="B39" s="180"/>
      <c r="C39" s="250">
        <v>100</v>
      </c>
      <c r="D39" s="251" t="s">
        <v>109</v>
      </c>
      <c r="E39" s="248">
        <v>978796</v>
      </c>
      <c r="F39" s="248"/>
      <c r="G39" s="248"/>
      <c r="H39" s="249">
        <v>-118930</v>
      </c>
      <c r="I39" s="248"/>
      <c r="J39" s="248"/>
      <c r="K39" s="248"/>
      <c r="L39" s="248"/>
      <c r="M39" s="248"/>
      <c r="N39" s="248"/>
      <c r="O39" s="248"/>
      <c r="P39" s="248">
        <v>-14779</v>
      </c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39">
        <f t="shared" si="22"/>
        <v>845087</v>
      </c>
      <c r="AF39" s="240">
        <f t="shared" si="25"/>
        <v>845087</v>
      </c>
      <c r="AG39" s="96"/>
      <c r="AH39" s="5">
        <f t="shared" si="18"/>
        <v>0</v>
      </c>
      <c r="AI39" s="41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81"/>
      <c r="AV39" s="254"/>
      <c r="AW39" s="232"/>
      <c r="AX39" s="255"/>
      <c r="AY39" s="256">
        <v>86469328.430000007</v>
      </c>
      <c r="AZ39" s="40"/>
    </row>
    <row r="40" spans="1:53" ht="35.25" customHeight="1" x14ac:dyDescent="0.2">
      <c r="A40" s="178"/>
      <c r="B40" s="180"/>
      <c r="C40" s="250">
        <v>120</v>
      </c>
      <c r="D40" s="251" t="s">
        <v>114</v>
      </c>
      <c r="E40" s="248"/>
      <c r="F40" s="248"/>
      <c r="G40" s="248"/>
      <c r="H40" s="249">
        <v>500000</v>
      </c>
      <c r="I40" s="248"/>
      <c r="J40" s="248"/>
      <c r="K40" s="248"/>
      <c r="L40" s="248"/>
      <c r="M40" s="248"/>
      <c r="N40" s="248"/>
      <c r="O40" s="248"/>
      <c r="P40" s="248">
        <v>112500</v>
      </c>
      <c r="Q40" s="248"/>
      <c r="R40" s="248"/>
      <c r="S40" s="248"/>
      <c r="T40" s="248"/>
      <c r="U40" s="248">
        <v>-90492</v>
      </c>
      <c r="V40" s="248"/>
      <c r="W40" s="248"/>
      <c r="X40" s="248"/>
      <c r="Y40" s="248"/>
      <c r="Z40" s="248"/>
      <c r="AA40" s="248"/>
      <c r="AB40" s="248"/>
      <c r="AC40" s="248"/>
      <c r="AD40" s="248"/>
      <c r="AE40" s="239">
        <f t="shared" si="22"/>
        <v>522008</v>
      </c>
      <c r="AF40" s="240">
        <f t="shared" si="25"/>
        <v>522008</v>
      </c>
      <c r="AG40" s="96"/>
      <c r="AH40" s="5">
        <f t="shared" si="18"/>
        <v>0</v>
      </c>
      <c r="AI40" s="41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81"/>
      <c r="AV40" s="254"/>
      <c r="AW40" s="232"/>
      <c r="AX40" s="255"/>
      <c r="AY40" s="255"/>
      <c r="AZ40" s="40"/>
    </row>
    <row r="41" spans="1:53" ht="39.75" customHeight="1" x14ac:dyDescent="0.2">
      <c r="A41" s="178"/>
      <c r="B41" s="180"/>
      <c r="C41" s="257">
        <v>121</v>
      </c>
      <c r="D41" s="258" t="s">
        <v>115</v>
      </c>
      <c r="E41" s="259"/>
      <c r="F41" s="259"/>
      <c r="G41" s="259"/>
      <c r="H41" s="260">
        <v>1000000</v>
      </c>
      <c r="I41" s="259"/>
      <c r="J41" s="259"/>
      <c r="K41" s="259"/>
      <c r="L41" s="259"/>
      <c r="M41" s="259"/>
      <c r="N41" s="259"/>
      <c r="O41" s="259"/>
      <c r="P41" s="259">
        <v>-484500</v>
      </c>
      <c r="Q41" s="259"/>
      <c r="R41" s="259"/>
      <c r="S41" s="259"/>
      <c r="T41" s="259"/>
      <c r="U41" s="259">
        <v>223689</v>
      </c>
      <c r="V41" s="259"/>
      <c r="W41" s="259"/>
      <c r="X41" s="259"/>
      <c r="Y41" s="259"/>
      <c r="Z41" s="259"/>
      <c r="AA41" s="259"/>
      <c r="AB41" s="259"/>
      <c r="AC41" s="259"/>
      <c r="AD41" s="248"/>
      <c r="AE41" s="239">
        <f t="shared" si="22"/>
        <v>739189</v>
      </c>
      <c r="AF41" s="240">
        <f t="shared" si="25"/>
        <v>739189</v>
      </c>
      <c r="AG41" s="96"/>
      <c r="AH41" s="5">
        <f t="shared" si="18"/>
        <v>0</v>
      </c>
      <c r="AI41" s="41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81"/>
      <c r="AV41" s="254"/>
      <c r="AW41" s="232"/>
      <c r="AX41" s="255"/>
      <c r="AY41" s="40">
        <f>+AE31-AE203</f>
        <v>84354033</v>
      </c>
      <c r="AZ41" s="40">
        <f>+AY41+AZ37</f>
        <v>86469328</v>
      </c>
    </row>
    <row r="42" spans="1:53" s="152" customFormat="1" x14ac:dyDescent="0.2">
      <c r="A42" s="153">
        <v>25</v>
      </c>
      <c r="B42" s="154"/>
      <c r="C42" s="261"/>
      <c r="D42" s="262" t="s">
        <v>116</v>
      </c>
      <c r="E42" s="263">
        <f t="shared" ref="E42:AD42" si="30">SUM(E43:E44)</f>
        <v>0</v>
      </c>
      <c r="F42" s="263">
        <f t="shared" si="30"/>
        <v>0</v>
      </c>
      <c r="G42" s="263">
        <f t="shared" si="30"/>
        <v>0</v>
      </c>
      <c r="H42" s="264">
        <f t="shared" si="30"/>
        <v>0</v>
      </c>
      <c r="I42" s="263">
        <f t="shared" si="30"/>
        <v>0</v>
      </c>
      <c r="J42" s="263">
        <f t="shared" si="30"/>
        <v>0</v>
      </c>
      <c r="K42" s="263">
        <f t="shared" si="30"/>
        <v>0</v>
      </c>
      <c r="L42" s="263">
        <f t="shared" si="30"/>
        <v>0</v>
      </c>
      <c r="M42" s="263">
        <f t="shared" si="30"/>
        <v>0</v>
      </c>
      <c r="N42" s="263">
        <f t="shared" si="30"/>
        <v>0</v>
      </c>
      <c r="O42" s="263">
        <f t="shared" si="30"/>
        <v>0</v>
      </c>
      <c r="P42" s="263">
        <f t="shared" si="30"/>
        <v>0</v>
      </c>
      <c r="Q42" s="263">
        <f t="shared" si="30"/>
        <v>0</v>
      </c>
      <c r="R42" s="263">
        <f t="shared" si="30"/>
        <v>0</v>
      </c>
      <c r="S42" s="263">
        <f t="shared" si="30"/>
        <v>0</v>
      </c>
      <c r="T42" s="263">
        <f t="shared" si="30"/>
        <v>0</v>
      </c>
      <c r="U42" s="263">
        <f t="shared" si="30"/>
        <v>0</v>
      </c>
      <c r="V42" s="263">
        <f t="shared" si="30"/>
        <v>0</v>
      </c>
      <c r="W42" s="263">
        <f t="shared" si="30"/>
        <v>0</v>
      </c>
      <c r="X42" s="263">
        <f t="shared" si="30"/>
        <v>0</v>
      </c>
      <c r="Y42" s="263">
        <f t="shared" si="30"/>
        <v>0</v>
      </c>
      <c r="Z42" s="263">
        <f t="shared" si="30"/>
        <v>0</v>
      </c>
      <c r="AA42" s="263">
        <f t="shared" si="30"/>
        <v>0</v>
      </c>
      <c r="AB42" s="263">
        <f t="shared" si="30"/>
        <v>0</v>
      </c>
      <c r="AC42" s="263">
        <f t="shared" si="30"/>
        <v>0</v>
      </c>
      <c r="AD42" s="265">
        <f t="shared" si="30"/>
        <v>0</v>
      </c>
      <c r="AE42" s="239">
        <f t="shared" si="22"/>
        <v>0</v>
      </c>
      <c r="AF42" s="240">
        <f t="shared" si="25"/>
        <v>0</v>
      </c>
      <c r="AG42" s="96"/>
      <c r="AH42" s="5">
        <f t="shared" si="18"/>
        <v>0</v>
      </c>
      <c r="AI42" s="41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81">
        <v>1000000</v>
      </c>
      <c r="AV42" s="254">
        <f>SUM(AJ42:AU42)</f>
        <v>1000000</v>
      </c>
      <c r="AW42" s="232">
        <f t="shared" ref="AW42:AW58" si="31">+AF41-AV42</f>
        <v>-260811</v>
      </c>
      <c r="AX42" s="21"/>
    </row>
    <row r="43" spans="1:53" s="152" customFormat="1" x14ac:dyDescent="0.2">
      <c r="A43" s="154"/>
      <c r="B43" s="154">
        <v>99</v>
      </c>
      <c r="C43" s="266"/>
      <c r="D43" s="267" t="s">
        <v>117</v>
      </c>
      <c r="E43" s="263"/>
      <c r="F43" s="263"/>
      <c r="G43" s="263"/>
      <c r="H43" s="264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5"/>
      <c r="AE43" s="239">
        <f t="shared" si="22"/>
        <v>0</v>
      </c>
      <c r="AF43" s="240">
        <f t="shared" si="25"/>
        <v>0</v>
      </c>
      <c r="AG43" s="96"/>
      <c r="AH43" s="5">
        <f t="shared" si="18"/>
        <v>0</v>
      </c>
      <c r="AI43" s="41"/>
      <c r="AJ43" s="268">
        <f t="shared" ref="AJ43:AU43" si="32">SUM(AJ44:AJ45)</f>
        <v>0</v>
      </c>
      <c r="AK43" s="268">
        <f t="shared" si="32"/>
        <v>0</v>
      </c>
      <c r="AL43" s="268">
        <f t="shared" si="32"/>
        <v>0</v>
      </c>
      <c r="AM43" s="268">
        <f t="shared" si="32"/>
        <v>0</v>
      </c>
      <c r="AN43" s="268">
        <f t="shared" si="32"/>
        <v>0</v>
      </c>
      <c r="AO43" s="268">
        <f t="shared" si="32"/>
        <v>0</v>
      </c>
      <c r="AP43" s="268">
        <f t="shared" si="32"/>
        <v>0</v>
      </c>
      <c r="AQ43" s="268">
        <f t="shared" si="32"/>
        <v>0</v>
      </c>
      <c r="AR43" s="268">
        <f t="shared" si="32"/>
        <v>0</v>
      </c>
      <c r="AS43" s="268">
        <f t="shared" si="32"/>
        <v>0</v>
      </c>
      <c r="AT43" s="268">
        <f t="shared" si="32"/>
        <v>0</v>
      </c>
      <c r="AU43" s="269">
        <f t="shared" si="32"/>
        <v>0</v>
      </c>
      <c r="AV43" s="270">
        <f>+AV44</f>
        <v>0</v>
      </c>
      <c r="AW43" s="232">
        <f t="shared" si="31"/>
        <v>0</v>
      </c>
    </row>
    <row r="44" spans="1:53" s="152" customFormat="1" x14ac:dyDescent="0.2">
      <c r="A44" s="176"/>
      <c r="B44" s="271"/>
      <c r="C44" s="272"/>
      <c r="D44" s="273"/>
      <c r="E44" s="263"/>
      <c r="F44" s="263"/>
      <c r="G44" s="263"/>
      <c r="H44" s="264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5"/>
      <c r="AE44" s="239">
        <f t="shared" si="22"/>
        <v>0</v>
      </c>
      <c r="AF44" s="240">
        <f t="shared" si="25"/>
        <v>0</v>
      </c>
      <c r="AG44" s="96"/>
      <c r="AH44" s="5">
        <f t="shared" si="18"/>
        <v>0</v>
      </c>
      <c r="AI44" s="41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9"/>
      <c r="AV44" s="254">
        <f>SUM(AJ44:AU44)</f>
        <v>0</v>
      </c>
      <c r="AW44" s="232">
        <f t="shared" si="31"/>
        <v>0</v>
      </c>
    </row>
    <row r="45" spans="1:53" s="189" customFormat="1" x14ac:dyDescent="0.2">
      <c r="A45" s="182" t="s">
        <v>118</v>
      </c>
      <c r="B45" s="274"/>
      <c r="C45" s="275"/>
      <c r="D45" s="276" t="s">
        <v>119</v>
      </c>
      <c r="E45" s="277">
        <f t="shared" ref="E45:AD45" si="33">SUM(E46:E50)</f>
        <v>0</v>
      </c>
      <c r="F45" s="277">
        <f t="shared" si="33"/>
        <v>0</v>
      </c>
      <c r="G45" s="277">
        <f t="shared" si="33"/>
        <v>0</v>
      </c>
      <c r="H45" s="278">
        <f t="shared" si="33"/>
        <v>5921957</v>
      </c>
      <c r="I45" s="277">
        <f t="shared" si="33"/>
        <v>0</v>
      </c>
      <c r="J45" s="277">
        <f t="shared" si="33"/>
        <v>0</v>
      </c>
      <c r="K45" s="277">
        <f t="shared" si="33"/>
        <v>0</v>
      </c>
      <c r="L45" s="277">
        <f t="shared" si="33"/>
        <v>0</v>
      </c>
      <c r="M45" s="277">
        <f t="shared" si="33"/>
        <v>0</v>
      </c>
      <c r="N45" s="277">
        <f t="shared" si="33"/>
        <v>0</v>
      </c>
      <c r="O45" s="277">
        <f t="shared" si="33"/>
        <v>0</v>
      </c>
      <c r="P45" s="277">
        <f t="shared" si="33"/>
        <v>0</v>
      </c>
      <c r="Q45" s="277">
        <f t="shared" si="33"/>
        <v>0</v>
      </c>
      <c r="R45" s="277">
        <f t="shared" si="33"/>
        <v>0</v>
      </c>
      <c r="S45" s="277">
        <f t="shared" si="33"/>
        <v>0</v>
      </c>
      <c r="T45" s="277">
        <f t="shared" si="33"/>
        <v>0</v>
      </c>
      <c r="U45" s="277">
        <f t="shared" si="33"/>
        <v>2482146</v>
      </c>
      <c r="V45" s="277">
        <f t="shared" si="33"/>
        <v>0</v>
      </c>
      <c r="W45" s="277">
        <f t="shared" si="33"/>
        <v>1625083</v>
      </c>
      <c r="X45" s="277">
        <f t="shared" si="33"/>
        <v>0</v>
      </c>
      <c r="Y45" s="277">
        <f t="shared" si="33"/>
        <v>0</v>
      </c>
      <c r="Z45" s="277">
        <f t="shared" si="33"/>
        <v>0</v>
      </c>
      <c r="AA45" s="277">
        <f t="shared" si="33"/>
        <v>0</v>
      </c>
      <c r="AB45" s="277">
        <f t="shared" si="33"/>
        <v>0</v>
      </c>
      <c r="AC45" s="277">
        <f t="shared" si="33"/>
        <v>1014000</v>
      </c>
      <c r="AD45" s="279">
        <f t="shared" si="33"/>
        <v>0</v>
      </c>
      <c r="AE45" s="239">
        <f t="shared" si="22"/>
        <v>11043186</v>
      </c>
      <c r="AF45" s="240">
        <f t="shared" si="25"/>
        <v>11043186</v>
      </c>
      <c r="AG45" s="96"/>
      <c r="AH45" s="5">
        <f t="shared" si="18"/>
        <v>0</v>
      </c>
      <c r="AI45" s="41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9"/>
      <c r="AV45" s="254">
        <f>SUM(AJ45:AU45)</f>
        <v>0</v>
      </c>
      <c r="AW45" s="232">
        <f t="shared" si="31"/>
        <v>0</v>
      </c>
      <c r="AX45" s="152"/>
    </row>
    <row r="46" spans="1:53" x14ac:dyDescent="0.2">
      <c r="A46" s="180"/>
      <c r="B46" s="168" t="s">
        <v>110</v>
      </c>
      <c r="C46" s="280"/>
      <c r="D46" s="281" t="s">
        <v>120</v>
      </c>
      <c r="E46" s="259"/>
      <c r="F46" s="259"/>
      <c r="G46" s="259"/>
      <c r="H46" s="260">
        <v>683191</v>
      </c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>
        <v>1113910</v>
      </c>
      <c r="V46" s="259"/>
      <c r="W46" s="259">
        <v>1625083</v>
      </c>
      <c r="X46" s="259"/>
      <c r="Y46" s="259"/>
      <c r="Z46" s="259"/>
      <c r="AA46" s="259"/>
      <c r="AB46" s="259"/>
      <c r="AC46" s="259"/>
      <c r="AD46" s="248"/>
      <c r="AE46" s="239">
        <f t="shared" si="22"/>
        <v>3422184</v>
      </c>
      <c r="AF46" s="240">
        <f t="shared" si="25"/>
        <v>3422184</v>
      </c>
      <c r="AG46" s="96"/>
      <c r="AH46" s="5">
        <f t="shared" si="18"/>
        <v>0</v>
      </c>
      <c r="AI46" s="41"/>
      <c r="AJ46" s="185">
        <f t="shared" ref="AJ46:AV46" si="34">SUM(AJ47:AJ51)</f>
        <v>0</v>
      </c>
      <c r="AK46" s="185">
        <f t="shared" si="34"/>
        <v>0</v>
      </c>
      <c r="AL46" s="185">
        <f t="shared" si="34"/>
        <v>1205207</v>
      </c>
      <c r="AM46" s="185">
        <f t="shared" si="34"/>
        <v>0</v>
      </c>
      <c r="AN46" s="185">
        <f t="shared" si="34"/>
        <v>0</v>
      </c>
      <c r="AO46" s="185">
        <f t="shared" si="34"/>
        <v>0</v>
      </c>
      <c r="AP46" s="185">
        <f t="shared" si="34"/>
        <v>0</v>
      </c>
      <c r="AQ46" s="185">
        <f t="shared" si="34"/>
        <v>0</v>
      </c>
      <c r="AR46" s="185">
        <f t="shared" si="34"/>
        <v>0</v>
      </c>
      <c r="AS46" s="185">
        <f t="shared" si="34"/>
        <v>0</v>
      </c>
      <c r="AT46" s="185">
        <f t="shared" si="34"/>
        <v>0</v>
      </c>
      <c r="AU46" s="190">
        <f t="shared" si="34"/>
        <v>4716750</v>
      </c>
      <c r="AV46" s="282">
        <f t="shared" si="34"/>
        <v>5921957</v>
      </c>
      <c r="AW46" s="232">
        <f t="shared" si="31"/>
        <v>5121229</v>
      </c>
      <c r="AX46" s="189"/>
    </row>
    <row r="47" spans="1:53" x14ac:dyDescent="0.2">
      <c r="A47" s="180"/>
      <c r="B47" s="180" t="s">
        <v>121</v>
      </c>
      <c r="C47" s="257"/>
      <c r="D47" s="283" t="s">
        <v>122</v>
      </c>
      <c r="E47" s="259"/>
      <c r="F47" s="259"/>
      <c r="G47" s="259"/>
      <c r="H47" s="260">
        <v>1733426</v>
      </c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>
        <v>261310</v>
      </c>
      <c r="V47" s="259"/>
      <c r="W47" s="259"/>
      <c r="X47" s="259"/>
      <c r="Y47" s="259"/>
      <c r="Z47" s="259"/>
      <c r="AA47" s="259"/>
      <c r="AB47" s="259"/>
      <c r="AC47" s="259"/>
      <c r="AD47" s="248"/>
      <c r="AE47" s="239">
        <f t="shared" si="22"/>
        <v>1994736</v>
      </c>
      <c r="AF47" s="240">
        <f t="shared" si="25"/>
        <v>1994736</v>
      </c>
      <c r="AG47" s="96"/>
      <c r="AH47" s="5">
        <f t="shared" si="18"/>
        <v>0</v>
      </c>
      <c r="AI47" s="41"/>
      <c r="AJ47" s="170"/>
      <c r="AK47" s="170"/>
      <c r="AL47" s="170"/>
      <c r="AM47" s="170"/>
      <c r="AN47" s="170"/>
      <c r="AO47" s="284"/>
      <c r="AP47" s="170"/>
      <c r="AQ47" s="170"/>
      <c r="AR47" s="170"/>
      <c r="AS47" s="170"/>
      <c r="AT47" s="170"/>
      <c r="AU47" s="181">
        <v>683191</v>
      </c>
      <c r="AV47" s="254">
        <f t="shared" ref="AV47:AV53" si="35">SUM(AJ47:AU47)</f>
        <v>683191</v>
      </c>
      <c r="AW47" s="232">
        <f t="shared" si="31"/>
        <v>2738993</v>
      </c>
    </row>
    <row r="48" spans="1:53" x14ac:dyDescent="0.2">
      <c r="A48" s="180"/>
      <c r="B48" s="180" t="s">
        <v>68</v>
      </c>
      <c r="C48" s="285"/>
      <c r="D48" s="283" t="s">
        <v>123</v>
      </c>
      <c r="E48" s="259"/>
      <c r="F48" s="259"/>
      <c r="G48" s="259"/>
      <c r="H48" s="260">
        <v>3306721</v>
      </c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>
        <v>1106926</v>
      </c>
      <c r="V48" s="259"/>
      <c r="W48" s="259"/>
      <c r="X48" s="259"/>
      <c r="Y48" s="259"/>
      <c r="Z48" s="259"/>
      <c r="AA48" s="259"/>
      <c r="AB48" s="259"/>
      <c r="AC48" s="259">
        <v>1014000</v>
      </c>
      <c r="AD48" s="248"/>
      <c r="AE48" s="239">
        <f t="shared" si="22"/>
        <v>5427647</v>
      </c>
      <c r="AF48" s="240">
        <f t="shared" si="25"/>
        <v>5427647</v>
      </c>
      <c r="AG48" s="96"/>
      <c r="AH48" s="5">
        <f t="shared" si="18"/>
        <v>0</v>
      </c>
      <c r="AI48" s="41"/>
      <c r="AJ48" s="170"/>
      <c r="AK48" s="170"/>
      <c r="AL48" s="170">
        <v>1072811</v>
      </c>
      <c r="AM48" s="170"/>
      <c r="AN48" s="170"/>
      <c r="AO48" s="284"/>
      <c r="AP48" s="170"/>
      <c r="AQ48" s="170"/>
      <c r="AR48" s="170"/>
      <c r="AS48" s="170"/>
      <c r="AT48" s="170"/>
      <c r="AU48" s="181">
        <f>1733426-1072811</f>
        <v>660615</v>
      </c>
      <c r="AV48" s="254">
        <f t="shared" si="35"/>
        <v>1733426</v>
      </c>
      <c r="AW48" s="232">
        <f t="shared" si="31"/>
        <v>261310</v>
      </c>
    </row>
    <row r="49" spans="1:50" x14ac:dyDescent="0.2">
      <c r="A49" s="180"/>
      <c r="B49" s="168" t="s">
        <v>75</v>
      </c>
      <c r="C49" s="285"/>
      <c r="D49" s="281" t="s">
        <v>124</v>
      </c>
      <c r="E49" s="259"/>
      <c r="F49" s="259"/>
      <c r="G49" s="259"/>
      <c r="H49" s="260">
        <v>185056</v>
      </c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48"/>
      <c r="AE49" s="239">
        <f t="shared" si="22"/>
        <v>185056</v>
      </c>
      <c r="AF49" s="240">
        <f t="shared" si="25"/>
        <v>185056</v>
      </c>
      <c r="AG49" s="96"/>
      <c r="AH49" s="5">
        <f t="shared" si="18"/>
        <v>0</v>
      </c>
      <c r="AI49" s="41"/>
      <c r="AJ49" s="170"/>
      <c r="AK49" s="170"/>
      <c r="AL49" s="170">
        <v>132396</v>
      </c>
      <c r="AM49" s="170"/>
      <c r="AN49" s="170"/>
      <c r="AO49" s="284"/>
      <c r="AP49" s="170"/>
      <c r="AQ49" s="170"/>
      <c r="AR49" s="170"/>
      <c r="AS49" s="170"/>
      <c r="AT49" s="170"/>
      <c r="AU49" s="181">
        <f>3306721-132396</f>
        <v>3174325</v>
      </c>
      <c r="AV49" s="254">
        <f t="shared" si="35"/>
        <v>3306721</v>
      </c>
      <c r="AW49" s="232">
        <f t="shared" si="31"/>
        <v>2120926</v>
      </c>
    </row>
    <row r="50" spans="1:50" x14ac:dyDescent="0.2">
      <c r="A50" s="180"/>
      <c r="B50" s="168" t="s">
        <v>125</v>
      </c>
      <c r="C50" s="285"/>
      <c r="D50" s="281" t="s">
        <v>126</v>
      </c>
      <c r="E50" s="259"/>
      <c r="F50" s="259"/>
      <c r="G50" s="259"/>
      <c r="H50" s="260">
        <v>13563</v>
      </c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48"/>
      <c r="AE50" s="239">
        <f t="shared" si="22"/>
        <v>13563</v>
      </c>
      <c r="AF50" s="240">
        <f t="shared" si="25"/>
        <v>13563</v>
      </c>
      <c r="AG50" s="96"/>
      <c r="AH50" s="5">
        <f t="shared" si="18"/>
        <v>0</v>
      </c>
      <c r="AI50" s="41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81">
        <v>185056</v>
      </c>
      <c r="AV50" s="254">
        <f t="shared" si="35"/>
        <v>185056</v>
      </c>
      <c r="AW50" s="232">
        <f t="shared" si="31"/>
        <v>0</v>
      </c>
    </row>
    <row r="51" spans="1:50" s="152" customFormat="1" x14ac:dyDescent="0.2">
      <c r="A51" s="175">
        <v>30</v>
      </c>
      <c r="B51" s="153"/>
      <c r="C51" s="286"/>
      <c r="D51" s="262" t="s">
        <v>127</v>
      </c>
      <c r="E51" s="277">
        <f t="shared" ref="E51:AD51" si="36">+E52</f>
        <v>2115295</v>
      </c>
      <c r="F51" s="277">
        <f t="shared" si="36"/>
        <v>0</v>
      </c>
      <c r="G51" s="277">
        <f t="shared" si="36"/>
        <v>0</v>
      </c>
      <c r="H51" s="278">
        <f t="shared" si="36"/>
        <v>0</v>
      </c>
      <c r="I51" s="277">
        <f t="shared" si="36"/>
        <v>0</v>
      </c>
      <c r="J51" s="277">
        <f t="shared" si="36"/>
        <v>0</v>
      </c>
      <c r="K51" s="277">
        <f t="shared" si="36"/>
        <v>0</v>
      </c>
      <c r="L51" s="277">
        <f t="shared" si="36"/>
        <v>0</v>
      </c>
      <c r="M51" s="277">
        <f t="shared" si="36"/>
        <v>-2115295</v>
      </c>
      <c r="N51" s="277">
        <f t="shared" si="36"/>
        <v>0</v>
      </c>
      <c r="O51" s="277">
        <f t="shared" si="36"/>
        <v>0</v>
      </c>
      <c r="P51" s="277">
        <f t="shared" si="36"/>
        <v>0</v>
      </c>
      <c r="Q51" s="277">
        <f t="shared" si="36"/>
        <v>0</v>
      </c>
      <c r="R51" s="277">
        <f t="shared" si="36"/>
        <v>0</v>
      </c>
      <c r="S51" s="277">
        <f t="shared" si="36"/>
        <v>0</v>
      </c>
      <c r="T51" s="277">
        <f t="shared" si="36"/>
        <v>0</v>
      </c>
      <c r="U51" s="277">
        <f t="shared" si="36"/>
        <v>0</v>
      </c>
      <c r="V51" s="277">
        <f t="shared" si="36"/>
        <v>0</v>
      </c>
      <c r="W51" s="277">
        <f t="shared" si="36"/>
        <v>0</v>
      </c>
      <c r="X51" s="277">
        <f t="shared" si="36"/>
        <v>0</v>
      </c>
      <c r="Y51" s="277">
        <f t="shared" si="36"/>
        <v>0</v>
      </c>
      <c r="Z51" s="277">
        <f t="shared" si="36"/>
        <v>0</v>
      </c>
      <c r="AA51" s="277">
        <f t="shared" si="36"/>
        <v>0</v>
      </c>
      <c r="AB51" s="277">
        <f t="shared" si="36"/>
        <v>0</v>
      </c>
      <c r="AC51" s="277">
        <f t="shared" si="36"/>
        <v>0</v>
      </c>
      <c r="AD51" s="279">
        <f t="shared" si="36"/>
        <v>0</v>
      </c>
      <c r="AE51" s="239">
        <f t="shared" si="22"/>
        <v>0</v>
      </c>
      <c r="AF51" s="240">
        <f t="shared" si="25"/>
        <v>0</v>
      </c>
      <c r="AG51" s="96"/>
      <c r="AH51" s="5">
        <f t="shared" si="18"/>
        <v>0</v>
      </c>
      <c r="AI51" s="41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81">
        <v>13563</v>
      </c>
      <c r="AV51" s="254">
        <f t="shared" si="35"/>
        <v>13563</v>
      </c>
      <c r="AW51" s="232">
        <f t="shared" si="31"/>
        <v>0</v>
      </c>
      <c r="AX51" s="21"/>
    </row>
    <row r="52" spans="1:50" x14ac:dyDescent="0.2">
      <c r="A52" s="180"/>
      <c r="B52" s="168">
        <v>10</v>
      </c>
      <c r="C52" s="285"/>
      <c r="D52" s="281" t="s">
        <v>94</v>
      </c>
      <c r="E52" s="259">
        <v>2115295</v>
      </c>
      <c r="F52" s="259"/>
      <c r="G52" s="259"/>
      <c r="H52" s="260"/>
      <c r="I52" s="259"/>
      <c r="J52" s="259"/>
      <c r="K52" s="259"/>
      <c r="L52" s="259"/>
      <c r="M52" s="259">
        <v>-2115295</v>
      </c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48"/>
      <c r="AE52" s="239">
        <f t="shared" si="22"/>
        <v>0</v>
      </c>
      <c r="AF52" s="240">
        <f t="shared" si="25"/>
        <v>0</v>
      </c>
      <c r="AG52" s="96"/>
      <c r="AH52" s="5">
        <f t="shared" si="18"/>
        <v>0</v>
      </c>
      <c r="AI52" s="41"/>
      <c r="AJ52" s="157">
        <f t="shared" ref="AJ52:AU52" si="37">+AJ53</f>
        <v>0</v>
      </c>
      <c r="AK52" s="157">
        <f t="shared" si="37"/>
        <v>0</v>
      </c>
      <c r="AL52" s="157">
        <f t="shared" si="37"/>
        <v>0</v>
      </c>
      <c r="AM52" s="157">
        <f t="shared" si="37"/>
        <v>0</v>
      </c>
      <c r="AN52" s="157">
        <f t="shared" si="37"/>
        <v>0</v>
      </c>
      <c r="AO52" s="157">
        <f t="shared" si="37"/>
        <v>0</v>
      </c>
      <c r="AP52" s="157">
        <f t="shared" si="37"/>
        <v>0</v>
      </c>
      <c r="AQ52" s="157">
        <f t="shared" si="37"/>
        <v>0</v>
      </c>
      <c r="AR52" s="157">
        <f t="shared" si="37"/>
        <v>0</v>
      </c>
      <c r="AS52" s="157">
        <f t="shared" si="37"/>
        <v>0</v>
      </c>
      <c r="AT52" s="157">
        <f t="shared" si="37"/>
        <v>0</v>
      </c>
      <c r="AU52" s="157">
        <f t="shared" si="37"/>
        <v>0</v>
      </c>
      <c r="AV52" s="254">
        <f t="shared" si="35"/>
        <v>0</v>
      </c>
      <c r="AW52" s="232">
        <f t="shared" si="31"/>
        <v>0</v>
      </c>
      <c r="AX52" s="152"/>
    </row>
    <row r="53" spans="1:50" s="152" customFormat="1" x14ac:dyDescent="0.2">
      <c r="A53" s="176" t="s">
        <v>128</v>
      </c>
      <c r="B53" s="176"/>
      <c r="C53" s="286"/>
      <c r="D53" s="287" t="s">
        <v>129</v>
      </c>
      <c r="E53" s="288">
        <f t="shared" ref="E53:AD53" si="38">SUM(E54:E56)</f>
        <v>50173861</v>
      </c>
      <c r="F53" s="288">
        <f t="shared" si="38"/>
        <v>-598876</v>
      </c>
      <c r="G53" s="288">
        <f t="shared" si="38"/>
        <v>0</v>
      </c>
      <c r="H53" s="289">
        <f t="shared" si="38"/>
        <v>-12028008</v>
      </c>
      <c r="I53" s="288">
        <f t="shared" si="38"/>
        <v>0</v>
      </c>
      <c r="J53" s="288">
        <f t="shared" si="38"/>
        <v>600000</v>
      </c>
      <c r="K53" s="288">
        <f t="shared" si="38"/>
        <v>450000</v>
      </c>
      <c r="L53" s="288">
        <f t="shared" si="38"/>
        <v>0</v>
      </c>
      <c r="M53" s="288">
        <f t="shared" si="38"/>
        <v>0</v>
      </c>
      <c r="N53" s="288">
        <f t="shared" si="38"/>
        <v>0</v>
      </c>
      <c r="O53" s="288">
        <f t="shared" si="38"/>
        <v>-1000000</v>
      </c>
      <c r="P53" s="288">
        <f t="shared" si="38"/>
        <v>14779</v>
      </c>
      <c r="Q53" s="288">
        <f t="shared" si="38"/>
        <v>-1243483</v>
      </c>
      <c r="R53" s="288">
        <f t="shared" si="38"/>
        <v>-1710492</v>
      </c>
      <c r="S53" s="288">
        <f t="shared" si="38"/>
        <v>-744711</v>
      </c>
      <c r="T53" s="288">
        <f t="shared" si="38"/>
        <v>-65000</v>
      </c>
      <c r="U53" s="288">
        <f t="shared" si="38"/>
        <v>-1819596</v>
      </c>
      <c r="V53" s="288">
        <f t="shared" si="38"/>
        <v>-2366276</v>
      </c>
      <c r="W53" s="288">
        <f t="shared" si="38"/>
        <v>-1800000</v>
      </c>
      <c r="X53" s="288">
        <f t="shared" si="38"/>
        <v>-976461</v>
      </c>
      <c r="Y53" s="288">
        <f t="shared" si="38"/>
        <v>240279</v>
      </c>
      <c r="Z53" s="288">
        <f t="shared" si="38"/>
        <v>124363</v>
      </c>
      <c r="AA53" s="288">
        <f t="shared" si="38"/>
        <v>-300000</v>
      </c>
      <c r="AB53" s="288">
        <f t="shared" si="38"/>
        <v>313650</v>
      </c>
      <c r="AC53" s="288">
        <f t="shared" si="38"/>
        <v>0</v>
      </c>
      <c r="AD53" s="225">
        <f t="shared" si="38"/>
        <v>0</v>
      </c>
      <c r="AE53" s="239">
        <f t="shared" si="22"/>
        <v>29930305</v>
      </c>
      <c r="AF53" s="240">
        <f t="shared" si="25"/>
        <v>27264029</v>
      </c>
      <c r="AG53" s="96"/>
      <c r="AH53" s="5">
        <f t="shared" si="18"/>
        <v>-2666276</v>
      </c>
      <c r="AI53" s="41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81"/>
      <c r="AV53" s="254">
        <f t="shared" si="35"/>
        <v>0</v>
      </c>
      <c r="AW53" s="232">
        <f t="shared" si="31"/>
        <v>0</v>
      </c>
      <c r="AX53" s="21"/>
    </row>
    <row r="54" spans="1:50" x14ac:dyDescent="0.2">
      <c r="A54" s="178"/>
      <c r="B54" s="180" t="s">
        <v>105</v>
      </c>
      <c r="C54" s="285"/>
      <c r="D54" s="283" t="s">
        <v>130</v>
      </c>
      <c r="E54" s="259">
        <v>93457</v>
      </c>
      <c r="F54" s="259"/>
      <c r="G54" s="259"/>
      <c r="H54" s="260">
        <v>94837</v>
      </c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48"/>
      <c r="AE54" s="239">
        <f t="shared" si="22"/>
        <v>188294</v>
      </c>
      <c r="AF54" s="240">
        <f t="shared" si="25"/>
        <v>188294</v>
      </c>
      <c r="AG54" s="96"/>
      <c r="AH54" s="5">
        <f t="shared" si="18"/>
        <v>0</v>
      </c>
      <c r="AI54" s="41"/>
      <c r="AJ54" s="157">
        <f t="shared" ref="AJ54:AU54" si="39">SUM(AJ55:AJ57)</f>
        <v>0</v>
      </c>
      <c r="AK54" s="157">
        <f t="shared" si="39"/>
        <v>2374772</v>
      </c>
      <c r="AL54" s="157">
        <f t="shared" si="39"/>
        <v>2891733</v>
      </c>
      <c r="AM54" s="157">
        <f t="shared" si="39"/>
        <v>4889020</v>
      </c>
      <c r="AN54" s="157">
        <f t="shared" si="39"/>
        <v>5000000</v>
      </c>
      <c r="AO54" s="157">
        <f t="shared" si="39"/>
        <v>5380000</v>
      </c>
      <c r="AP54" s="157">
        <f t="shared" si="39"/>
        <v>4000000</v>
      </c>
      <c r="AQ54" s="157">
        <f t="shared" si="39"/>
        <v>3530000</v>
      </c>
      <c r="AR54" s="157">
        <f t="shared" si="39"/>
        <v>5422185</v>
      </c>
      <c r="AS54" s="157">
        <f t="shared" si="39"/>
        <v>239247</v>
      </c>
      <c r="AT54" s="157">
        <f t="shared" si="39"/>
        <v>13457</v>
      </c>
      <c r="AU54" s="163">
        <f t="shared" si="39"/>
        <v>5455439</v>
      </c>
      <c r="AV54" s="245">
        <f>SUM(AV55:AV56)</f>
        <v>39195853</v>
      </c>
      <c r="AW54" s="232">
        <f t="shared" si="31"/>
        <v>-11931824</v>
      </c>
      <c r="AX54" s="152"/>
    </row>
    <row r="55" spans="1:50" ht="16.5" customHeight="1" x14ac:dyDescent="0.2">
      <c r="A55" s="178"/>
      <c r="B55" s="180" t="s">
        <v>71</v>
      </c>
      <c r="C55" s="285"/>
      <c r="D55" s="283" t="s">
        <v>131</v>
      </c>
      <c r="E55" s="259">
        <v>50080404</v>
      </c>
      <c r="F55" s="259">
        <v>-598876</v>
      </c>
      <c r="G55" s="259"/>
      <c r="H55" s="260">
        <v>-12122845</v>
      </c>
      <c r="I55" s="259"/>
      <c r="J55" s="259">
        <v>600000</v>
      </c>
      <c r="K55" s="259">
        <v>450000</v>
      </c>
      <c r="L55" s="259"/>
      <c r="M55" s="259"/>
      <c r="N55" s="259"/>
      <c r="O55" s="259">
        <v>-1000000</v>
      </c>
      <c r="P55" s="259">
        <v>14779</v>
      </c>
      <c r="Q55" s="259">
        <v>-1243483</v>
      </c>
      <c r="R55" s="259">
        <v>-1710492</v>
      </c>
      <c r="S55" s="259">
        <v>-744711</v>
      </c>
      <c r="T55" s="259">
        <v>-65000</v>
      </c>
      <c r="U55" s="259">
        <v>-1819596</v>
      </c>
      <c r="V55" s="259">
        <f>-2356277-9999</f>
        <v>-2366276</v>
      </c>
      <c r="W55" s="259">
        <v>-1800000</v>
      </c>
      <c r="X55" s="259">
        <v>-976461</v>
      </c>
      <c r="Y55" s="259">
        <v>240279</v>
      </c>
      <c r="Z55" s="259">
        <v>124363</v>
      </c>
      <c r="AA55" s="259">
        <v>-300000</v>
      </c>
      <c r="AB55" s="259">
        <v>313650</v>
      </c>
      <c r="AC55" s="259"/>
      <c r="AD55" s="259"/>
      <c r="AE55" s="239">
        <f t="shared" si="22"/>
        <v>29742011</v>
      </c>
      <c r="AF55" s="240">
        <f t="shared" si="25"/>
        <v>27075735</v>
      </c>
      <c r="AG55" s="96"/>
      <c r="AH55" s="5">
        <f>+AA55+V55</f>
        <v>-2666276</v>
      </c>
      <c r="AI55" s="41"/>
      <c r="AJ55" s="170"/>
      <c r="AK55" s="170">
        <v>14894</v>
      </c>
      <c r="AL55" s="170">
        <v>0</v>
      </c>
      <c r="AM55" s="170">
        <v>20000</v>
      </c>
      <c r="AN55" s="170"/>
      <c r="AO55" s="170">
        <v>30000</v>
      </c>
      <c r="AP55" s="170"/>
      <c r="AQ55" s="170">
        <v>30000</v>
      </c>
      <c r="AR55" s="170"/>
      <c r="AS55" s="170"/>
      <c r="AT55" s="170">
        <v>13457</v>
      </c>
      <c r="AU55" s="181">
        <v>79943</v>
      </c>
      <c r="AV55" s="254">
        <f>SUM(AJ55:AU55)</f>
        <v>188294</v>
      </c>
      <c r="AW55" s="232">
        <f t="shared" si="31"/>
        <v>0</v>
      </c>
    </row>
    <row r="56" spans="1:50" x14ac:dyDescent="0.2">
      <c r="A56" s="178"/>
      <c r="B56" s="180" t="s">
        <v>110</v>
      </c>
      <c r="C56" s="285"/>
      <c r="D56" s="283" t="s">
        <v>132</v>
      </c>
      <c r="E56" s="259"/>
      <c r="F56" s="259"/>
      <c r="G56" s="259"/>
      <c r="H56" s="260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48"/>
      <c r="AE56" s="239">
        <f t="shared" si="22"/>
        <v>0</v>
      </c>
      <c r="AF56" s="240">
        <f t="shared" si="25"/>
        <v>0</v>
      </c>
      <c r="AG56" s="96"/>
      <c r="AH56" s="5">
        <f t="shared" ref="AH56:AH119" si="40">+AA56+V56</f>
        <v>0</v>
      </c>
      <c r="AI56" s="41"/>
      <c r="AJ56" s="170"/>
      <c r="AK56" s="170">
        <v>2359878</v>
      </c>
      <c r="AL56" s="170">
        <f>3130980-239247</f>
        <v>2891733</v>
      </c>
      <c r="AM56" s="170">
        <f>4000000+869020</f>
        <v>4869020</v>
      </c>
      <c r="AN56" s="170">
        <v>5000000</v>
      </c>
      <c r="AO56" s="170">
        <v>5350000</v>
      </c>
      <c r="AP56" s="170">
        <v>4000000</v>
      </c>
      <c r="AQ56" s="170">
        <v>3500000</v>
      </c>
      <c r="AR56" s="170">
        <v>5422185</v>
      </c>
      <c r="AS56" s="170">
        <v>239247</v>
      </c>
      <c r="AT56" s="170"/>
      <c r="AU56" s="181">
        <v>5375496</v>
      </c>
      <c r="AV56" s="254">
        <f>SUM(AJ56:AU56)</f>
        <v>39007559</v>
      </c>
      <c r="AW56" s="232">
        <f t="shared" si="31"/>
        <v>-11931824</v>
      </c>
    </row>
    <row r="57" spans="1:50" s="152" customFormat="1" x14ac:dyDescent="0.2">
      <c r="A57" s="175" t="s">
        <v>133</v>
      </c>
      <c r="B57" s="176"/>
      <c r="C57" s="286"/>
      <c r="D57" s="287" t="s">
        <v>134</v>
      </c>
      <c r="E57" s="288">
        <f t="shared" ref="E57:T57" si="41">E58</f>
        <v>0</v>
      </c>
      <c r="F57" s="288">
        <f t="shared" si="41"/>
        <v>0</v>
      </c>
      <c r="G57" s="288">
        <f t="shared" si="41"/>
        <v>0</v>
      </c>
      <c r="H57" s="289">
        <f t="shared" si="41"/>
        <v>0</v>
      </c>
      <c r="I57" s="288">
        <f t="shared" si="41"/>
        <v>0</v>
      </c>
      <c r="J57" s="288">
        <f t="shared" si="41"/>
        <v>0</v>
      </c>
      <c r="K57" s="288">
        <f t="shared" si="41"/>
        <v>0</v>
      </c>
      <c r="L57" s="288">
        <f t="shared" si="41"/>
        <v>0</v>
      </c>
      <c r="M57" s="288">
        <f t="shared" si="41"/>
        <v>0</v>
      </c>
      <c r="N57" s="288">
        <f t="shared" si="41"/>
        <v>0</v>
      </c>
      <c r="O57" s="288">
        <f t="shared" si="41"/>
        <v>0</v>
      </c>
      <c r="P57" s="288">
        <f t="shared" si="41"/>
        <v>0</v>
      </c>
      <c r="Q57" s="288">
        <f t="shared" si="41"/>
        <v>0</v>
      </c>
      <c r="R57" s="288">
        <f t="shared" si="41"/>
        <v>0</v>
      </c>
      <c r="S57" s="288">
        <f t="shared" si="41"/>
        <v>0</v>
      </c>
      <c r="T57" s="288">
        <f t="shared" si="41"/>
        <v>0</v>
      </c>
      <c r="U57" s="288">
        <f>+U58</f>
        <v>599276</v>
      </c>
      <c r="V57" s="288">
        <f t="shared" ref="V57:AD57" si="42">V58</f>
        <v>0</v>
      </c>
      <c r="W57" s="288">
        <f t="shared" si="42"/>
        <v>0</v>
      </c>
      <c r="X57" s="288">
        <f t="shared" si="42"/>
        <v>0</v>
      </c>
      <c r="Y57" s="288">
        <f t="shared" si="42"/>
        <v>0</v>
      </c>
      <c r="Z57" s="288">
        <f t="shared" si="42"/>
        <v>0</v>
      </c>
      <c r="AA57" s="288">
        <f t="shared" si="42"/>
        <v>0</v>
      </c>
      <c r="AB57" s="288">
        <f t="shared" si="42"/>
        <v>0</v>
      </c>
      <c r="AC57" s="288">
        <f t="shared" si="42"/>
        <v>0</v>
      </c>
      <c r="AD57" s="225">
        <f t="shared" si="42"/>
        <v>0</v>
      </c>
      <c r="AE57" s="239">
        <f t="shared" si="22"/>
        <v>599276</v>
      </c>
      <c r="AF57" s="240">
        <f t="shared" si="25"/>
        <v>599276</v>
      </c>
      <c r="AG57" s="96"/>
      <c r="AH57" s="5">
        <f t="shared" si="40"/>
        <v>0</v>
      </c>
      <c r="AI57" s="41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81"/>
      <c r="AV57" s="254">
        <f>SUM(AJ57:AU57)</f>
        <v>0</v>
      </c>
      <c r="AW57" s="232">
        <f t="shared" si="31"/>
        <v>0</v>
      </c>
      <c r="AX57" s="21"/>
    </row>
    <row r="58" spans="1:50" s="152" customFormat="1" x14ac:dyDescent="0.2">
      <c r="A58" s="176"/>
      <c r="B58" s="175" t="s">
        <v>75</v>
      </c>
      <c r="C58" s="286"/>
      <c r="D58" s="287" t="s">
        <v>84</v>
      </c>
      <c r="E58" s="288"/>
      <c r="F58" s="288"/>
      <c r="G58" s="288"/>
      <c r="H58" s="289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>
        <f>+U59</f>
        <v>599276</v>
      </c>
      <c r="V58" s="288"/>
      <c r="W58" s="288"/>
      <c r="X58" s="288"/>
      <c r="Y58" s="288"/>
      <c r="Z58" s="288"/>
      <c r="AA58" s="288"/>
      <c r="AB58" s="288"/>
      <c r="AC58" s="288"/>
      <c r="AD58" s="225"/>
      <c r="AE58" s="239">
        <f t="shared" si="22"/>
        <v>599276</v>
      </c>
      <c r="AF58" s="240">
        <f t="shared" si="25"/>
        <v>599276</v>
      </c>
      <c r="AG58" s="96"/>
      <c r="AH58" s="5">
        <f t="shared" si="40"/>
        <v>0</v>
      </c>
      <c r="AI58" s="41"/>
      <c r="AJ58" s="157">
        <f t="shared" ref="AJ58:AV58" si="43">AJ60</f>
        <v>0</v>
      </c>
      <c r="AK58" s="157">
        <f t="shared" si="43"/>
        <v>0</v>
      </c>
      <c r="AL58" s="157">
        <f t="shared" si="43"/>
        <v>0</v>
      </c>
      <c r="AM58" s="157">
        <f t="shared" si="43"/>
        <v>0</v>
      </c>
      <c r="AN58" s="157">
        <f t="shared" si="43"/>
        <v>0</v>
      </c>
      <c r="AO58" s="157">
        <f t="shared" si="43"/>
        <v>0</v>
      </c>
      <c r="AP58" s="157">
        <f t="shared" si="43"/>
        <v>0</v>
      </c>
      <c r="AQ58" s="157">
        <f t="shared" si="43"/>
        <v>0</v>
      </c>
      <c r="AR58" s="157">
        <f t="shared" si="43"/>
        <v>0</v>
      </c>
      <c r="AS58" s="157">
        <f t="shared" si="43"/>
        <v>0</v>
      </c>
      <c r="AT58" s="157">
        <f t="shared" si="43"/>
        <v>0</v>
      </c>
      <c r="AU58" s="163">
        <f t="shared" si="43"/>
        <v>0</v>
      </c>
      <c r="AV58" s="245">
        <f t="shared" si="43"/>
        <v>0</v>
      </c>
      <c r="AW58" s="232">
        <f t="shared" si="31"/>
        <v>599276</v>
      </c>
    </row>
    <row r="59" spans="1:50" s="152" customFormat="1" x14ac:dyDescent="0.2">
      <c r="A59" s="176"/>
      <c r="B59" s="175"/>
      <c r="C59" s="290" t="s">
        <v>73</v>
      </c>
      <c r="D59" s="283" t="s">
        <v>135</v>
      </c>
      <c r="E59" s="288"/>
      <c r="F59" s="288"/>
      <c r="G59" s="288"/>
      <c r="H59" s="289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>
        <v>599276</v>
      </c>
      <c r="V59" s="288"/>
      <c r="W59" s="288"/>
      <c r="X59" s="288"/>
      <c r="Y59" s="288"/>
      <c r="Z59" s="288"/>
      <c r="AA59" s="288"/>
      <c r="AB59" s="288"/>
      <c r="AC59" s="288"/>
      <c r="AD59" s="225"/>
      <c r="AE59" s="239">
        <f t="shared" si="22"/>
        <v>599276</v>
      </c>
      <c r="AF59" s="240">
        <f t="shared" si="25"/>
        <v>599276</v>
      </c>
      <c r="AG59" s="96"/>
      <c r="AH59" s="5">
        <f t="shared" si="40"/>
        <v>0</v>
      </c>
      <c r="AI59" s="41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63"/>
      <c r="AV59" s="245"/>
      <c r="AW59" s="232"/>
    </row>
    <row r="60" spans="1:50" s="152" customFormat="1" x14ac:dyDescent="0.2">
      <c r="A60" s="175" t="s">
        <v>136</v>
      </c>
      <c r="B60" s="176"/>
      <c r="C60" s="286"/>
      <c r="D60" s="287" t="s">
        <v>137</v>
      </c>
      <c r="E60" s="288">
        <f t="shared" ref="E60:AD60" si="44">+E61+E92+E97</f>
        <v>26595377</v>
      </c>
      <c r="F60" s="288">
        <f t="shared" si="44"/>
        <v>0</v>
      </c>
      <c r="G60" s="288">
        <f t="shared" si="44"/>
        <v>1113028</v>
      </c>
      <c r="H60" s="289">
        <f t="shared" si="44"/>
        <v>3830021</v>
      </c>
      <c r="I60" s="288">
        <f t="shared" si="44"/>
        <v>0</v>
      </c>
      <c r="J60" s="288">
        <f t="shared" si="44"/>
        <v>0</v>
      </c>
      <c r="K60" s="288">
        <f t="shared" si="44"/>
        <v>0</v>
      </c>
      <c r="L60" s="288">
        <f t="shared" si="44"/>
        <v>0</v>
      </c>
      <c r="M60" s="288">
        <f t="shared" si="44"/>
        <v>0</v>
      </c>
      <c r="N60" s="288">
        <f t="shared" si="44"/>
        <v>343590</v>
      </c>
      <c r="O60" s="288">
        <f t="shared" si="44"/>
        <v>0</v>
      </c>
      <c r="P60" s="288">
        <f t="shared" si="44"/>
        <v>0</v>
      </c>
      <c r="Q60" s="288">
        <f t="shared" si="44"/>
        <v>1243483</v>
      </c>
      <c r="R60" s="288">
        <f t="shared" si="44"/>
        <v>1710492</v>
      </c>
      <c r="S60" s="288">
        <f t="shared" si="44"/>
        <v>744711</v>
      </c>
      <c r="T60" s="288">
        <f t="shared" si="44"/>
        <v>0</v>
      </c>
      <c r="U60" s="288">
        <f t="shared" si="44"/>
        <v>-1318845</v>
      </c>
      <c r="V60" s="288">
        <f t="shared" si="44"/>
        <v>2366276</v>
      </c>
      <c r="W60" s="288">
        <f t="shared" si="44"/>
        <v>174917</v>
      </c>
      <c r="X60" s="288">
        <f t="shared" si="44"/>
        <v>0</v>
      </c>
      <c r="Y60" s="288">
        <f t="shared" si="44"/>
        <v>0</v>
      </c>
      <c r="Z60" s="288">
        <f t="shared" si="44"/>
        <v>0</v>
      </c>
      <c r="AA60" s="288">
        <f t="shared" si="44"/>
        <v>300000</v>
      </c>
      <c r="AB60" s="288">
        <f t="shared" si="44"/>
        <v>0</v>
      </c>
      <c r="AC60" s="288">
        <f t="shared" si="44"/>
        <v>0</v>
      </c>
      <c r="AD60" s="225">
        <f t="shared" si="44"/>
        <v>0</v>
      </c>
      <c r="AE60" s="239">
        <f t="shared" si="22"/>
        <v>34436774</v>
      </c>
      <c r="AF60" s="240">
        <f t="shared" si="25"/>
        <v>37103050</v>
      </c>
      <c r="AG60" s="96"/>
      <c r="AH60" s="5">
        <f t="shared" si="40"/>
        <v>2666276</v>
      </c>
      <c r="AI60" s="41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63"/>
      <c r="AV60" s="254">
        <f>SUM(AJ60:AU60)</f>
        <v>0</v>
      </c>
      <c r="AW60" s="232">
        <f>+AF58-AV60</f>
        <v>599276</v>
      </c>
    </row>
    <row r="61" spans="1:50" s="152" customFormat="1" x14ac:dyDescent="0.2">
      <c r="A61" s="176"/>
      <c r="B61" s="175" t="s">
        <v>105</v>
      </c>
      <c r="C61" s="286"/>
      <c r="D61" s="287" t="s">
        <v>106</v>
      </c>
      <c r="E61" s="288">
        <f t="shared" ref="E61:AD61" si="45">SUM(E62:E91)</f>
        <v>1447018</v>
      </c>
      <c r="F61" s="288">
        <f t="shared" si="45"/>
        <v>0</v>
      </c>
      <c r="G61" s="288">
        <f t="shared" si="45"/>
        <v>0</v>
      </c>
      <c r="H61" s="289">
        <f t="shared" si="45"/>
        <v>-766841</v>
      </c>
      <c r="I61" s="288">
        <f t="shared" si="45"/>
        <v>12000</v>
      </c>
      <c r="J61" s="288">
        <f t="shared" si="45"/>
        <v>0</v>
      </c>
      <c r="K61" s="288">
        <f t="shared" si="45"/>
        <v>0</v>
      </c>
      <c r="L61" s="288">
        <f t="shared" si="45"/>
        <v>0</v>
      </c>
      <c r="M61" s="288">
        <f t="shared" si="45"/>
        <v>0</v>
      </c>
      <c r="N61" s="288">
        <f t="shared" si="45"/>
        <v>0</v>
      </c>
      <c r="O61" s="288">
        <f t="shared" si="45"/>
        <v>0</v>
      </c>
      <c r="P61" s="288">
        <f t="shared" si="45"/>
        <v>0</v>
      </c>
      <c r="Q61" s="288">
        <f t="shared" si="45"/>
        <v>0</v>
      </c>
      <c r="R61" s="288">
        <f t="shared" si="45"/>
        <v>0</v>
      </c>
      <c r="S61" s="288">
        <f t="shared" si="45"/>
        <v>0</v>
      </c>
      <c r="T61" s="288">
        <f t="shared" si="45"/>
        <v>0</v>
      </c>
      <c r="U61" s="288">
        <f t="shared" si="45"/>
        <v>0</v>
      </c>
      <c r="V61" s="288">
        <f t="shared" si="45"/>
        <v>0</v>
      </c>
      <c r="W61" s="288">
        <f t="shared" si="45"/>
        <v>0</v>
      </c>
      <c r="X61" s="288">
        <f t="shared" si="45"/>
        <v>0</v>
      </c>
      <c r="Y61" s="288">
        <f t="shared" si="45"/>
        <v>0</v>
      </c>
      <c r="Z61" s="288">
        <f t="shared" si="45"/>
        <v>0</v>
      </c>
      <c r="AA61" s="288">
        <f t="shared" si="45"/>
        <v>0</v>
      </c>
      <c r="AB61" s="288">
        <f t="shared" si="45"/>
        <v>0</v>
      </c>
      <c r="AC61" s="288">
        <f t="shared" si="45"/>
        <v>0</v>
      </c>
      <c r="AD61" s="225">
        <f t="shared" si="45"/>
        <v>0</v>
      </c>
      <c r="AE61" s="239">
        <f t="shared" si="22"/>
        <v>692177</v>
      </c>
      <c r="AF61" s="240">
        <f t="shared" si="25"/>
        <v>692177</v>
      </c>
      <c r="AG61" s="96"/>
      <c r="AH61" s="5">
        <f t="shared" si="40"/>
        <v>0</v>
      </c>
      <c r="AI61" s="41"/>
      <c r="AJ61" s="157">
        <f t="shared" ref="AJ61:AV61" si="46">+AJ62+AJ93+AJ98</f>
        <v>74918</v>
      </c>
      <c r="AK61" s="157">
        <f t="shared" si="46"/>
        <v>1474736</v>
      </c>
      <c r="AL61" s="157">
        <f t="shared" si="46"/>
        <v>2078504</v>
      </c>
      <c r="AM61" s="157">
        <f t="shared" si="46"/>
        <v>2331329</v>
      </c>
      <c r="AN61" s="157">
        <f t="shared" si="46"/>
        <v>2538581</v>
      </c>
      <c r="AO61" s="157">
        <f t="shared" si="46"/>
        <v>1424893</v>
      </c>
      <c r="AP61" s="157">
        <f t="shared" si="46"/>
        <v>878280</v>
      </c>
      <c r="AQ61" s="157">
        <f t="shared" si="46"/>
        <v>1126800</v>
      </c>
      <c r="AR61" s="157">
        <f t="shared" si="46"/>
        <v>1318685</v>
      </c>
      <c r="AS61" s="157">
        <f t="shared" si="46"/>
        <v>1219584</v>
      </c>
      <c r="AT61" s="157">
        <f t="shared" si="46"/>
        <v>1350727</v>
      </c>
      <c r="AU61" s="163">
        <f t="shared" si="46"/>
        <v>13831305</v>
      </c>
      <c r="AV61" s="241">
        <f t="shared" si="46"/>
        <v>29648342</v>
      </c>
      <c r="AW61" s="232">
        <f t="shared" ref="AW61:AW96" si="47">+AF60-AV61</f>
        <v>7454708</v>
      </c>
    </row>
    <row r="62" spans="1:50" s="203" customFormat="1" x14ac:dyDescent="0.2">
      <c r="A62" s="196"/>
      <c r="B62" s="197"/>
      <c r="C62" s="291" t="s">
        <v>73</v>
      </c>
      <c r="D62" s="292" t="s">
        <v>138</v>
      </c>
      <c r="E62" s="293">
        <v>527072</v>
      </c>
      <c r="F62" s="293"/>
      <c r="G62" s="293"/>
      <c r="H62" s="294">
        <v>-11598</v>
      </c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5"/>
      <c r="AE62" s="239">
        <f t="shared" si="22"/>
        <v>515474</v>
      </c>
      <c r="AF62" s="240">
        <f t="shared" si="25"/>
        <v>515474</v>
      </c>
      <c r="AG62" s="96"/>
      <c r="AH62" s="5">
        <f t="shared" si="40"/>
        <v>0</v>
      </c>
      <c r="AI62" s="41"/>
      <c r="AJ62" s="157">
        <f t="shared" ref="AJ62:AV62" si="48">SUM(AJ63:AJ92)</f>
        <v>0</v>
      </c>
      <c r="AK62" s="157">
        <f t="shared" si="48"/>
        <v>0</v>
      </c>
      <c r="AL62" s="157">
        <f t="shared" si="48"/>
        <v>0</v>
      </c>
      <c r="AM62" s="157">
        <f t="shared" si="48"/>
        <v>99703</v>
      </c>
      <c r="AN62" s="157">
        <f t="shared" si="48"/>
        <v>515474</v>
      </c>
      <c r="AO62" s="157">
        <f t="shared" si="48"/>
        <v>0</v>
      </c>
      <c r="AP62" s="157">
        <f t="shared" si="48"/>
        <v>0</v>
      </c>
      <c r="AQ62" s="157">
        <f t="shared" si="48"/>
        <v>0</v>
      </c>
      <c r="AR62" s="157">
        <f t="shared" si="48"/>
        <v>0</v>
      </c>
      <c r="AS62" s="157">
        <f t="shared" si="48"/>
        <v>0</v>
      </c>
      <c r="AT62" s="157">
        <f t="shared" si="48"/>
        <v>0</v>
      </c>
      <c r="AU62" s="163">
        <f t="shared" si="48"/>
        <v>77000</v>
      </c>
      <c r="AV62" s="245">
        <f t="shared" si="48"/>
        <v>692177</v>
      </c>
      <c r="AW62" s="232">
        <f t="shared" si="47"/>
        <v>0</v>
      </c>
      <c r="AX62" s="152"/>
    </row>
    <row r="63" spans="1:50" s="203" customFormat="1" ht="25.5" x14ac:dyDescent="0.2">
      <c r="A63" s="196"/>
      <c r="B63" s="197"/>
      <c r="C63" s="291" t="s">
        <v>112</v>
      </c>
      <c r="D63" s="283" t="s">
        <v>139</v>
      </c>
      <c r="E63" s="293">
        <v>818000</v>
      </c>
      <c r="F63" s="293"/>
      <c r="G63" s="293"/>
      <c r="H63" s="294">
        <v>-753000</v>
      </c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5"/>
      <c r="AE63" s="239">
        <f t="shared" si="22"/>
        <v>65000</v>
      </c>
      <c r="AF63" s="240">
        <f t="shared" si="25"/>
        <v>65000</v>
      </c>
      <c r="AG63" s="96"/>
      <c r="AH63" s="5">
        <f t="shared" si="40"/>
        <v>0</v>
      </c>
      <c r="AI63" s="41"/>
      <c r="AJ63" s="199"/>
      <c r="AK63" s="199"/>
      <c r="AL63" s="199"/>
      <c r="AM63" s="199"/>
      <c r="AN63" s="199">
        <v>515474</v>
      </c>
      <c r="AO63" s="199"/>
      <c r="AP63" s="199"/>
      <c r="AQ63" s="199"/>
      <c r="AR63" s="199"/>
      <c r="AS63" s="199"/>
      <c r="AT63" s="199"/>
      <c r="AU63" s="296"/>
      <c r="AV63" s="297">
        <f t="shared" ref="AV63:AV92" si="49">SUM(AJ63:AU63)</f>
        <v>515474</v>
      </c>
      <c r="AW63" s="232">
        <f t="shared" si="47"/>
        <v>0</v>
      </c>
    </row>
    <row r="64" spans="1:50" ht="38.25" x14ac:dyDescent="0.2">
      <c r="A64" s="178"/>
      <c r="B64" s="180"/>
      <c r="C64" s="298">
        <v>240</v>
      </c>
      <c r="D64" s="281" t="s">
        <v>140</v>
      </c>
      <c r="E64" s="259"/>
      <c r="F64" s="259"/>
      <c r="G64" s="259"/>
      <c r="H64" s="260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48"/>
      <c r="AE64" s="239">
        <f t="shared" si="22"/>
        <v>0</v>
      </c>
      <c r="AF64" s="240">
        <f t="shared" si="25"/>
        <v>0</v>
      </c>
      <c r="AG64" s="96"/>
      <c r="AH64" s="5">
        <f t="shared" si="40"/>
        <v>0</v>
      </c>
      <c r="AI64" s="41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296">
        <v>65000</v>
      </c>
      <c r="AV64" s="297">
        <f t="shared" si="49"/>
        <v>65000</v>
      </c>
      <c r="AW64" s="232">
        <f t="shared" si="47"/>
        <v>0</v>
      </c>
      <c r="AX64" s="203"/>
    </row>
    <row r="65" spans="1:49" ht="38.25" x14ac:dyDescent="0.2">
      <c r="A65" s="178"/>
      <c r="B65" s="180"/>
      <c r="C65" s="298">
        <v>242</v>
      </c>
      <c r="D65" s="281" t="s">
        <v>141</v>
      </c>
      <c r="E65" s="259">
        <v>101946</v>
      </c>
      <c r="F65" s="259"/>
      <c r="G65" s="259"/>
      <c r="H65" s="260">
        <v>-2243</v>
      </c>
      <c r="I65" s="259"/>
      <c r="J65" s="259"/>
      <c r="K65" s="259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48"/>
      <c r="AE65" s="239">
        <f t="shared" si="22"/>
        <v>99703</v>
      </c>
      <c r="AF65" s="240">
        <f t="shared" si="25"/>
        <v>99703</v>
      </c>
      <c r="AG65" s="96"/>
      <c r="AH65" s="5">
        <f t="shared" si="40"/>
        <v>0</v>
      </c>
      <c r="AI65" s="41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81"/>
      <c r="AV65" s="254">
        <f t="shared" si="49"/>
        <v>0</v>
      </c>
      <c r="AW65" s="232">
        <f t="shared" si="47"/>
        <v>0</v>
      </c>
    </row>
    <row r="66" spans="1:49" ht="38.25" x14ac:dyDescent="0.2">
      <c r="A66" s="178"/>
      <c r="B66" s="180" t="s">
        <v>142</v>
      </c>
      <c r="C66" s="298" t="s">
        <v>143</v>
      </c>
      <c r="D66" s="281" t="s">
        <v>144</v>
      </c>
      <c r="E66" s="259"/>
      <c r="F66" s="259"/>
      <c r="G66" s="259"/>
      <c r="H66" s="260"/>
      <c r="I66" s="259">
        <v>12000</v>
      </c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48"/>
      <c r="AE66" s="239">
        <f t="shared" si="22"/>
        <v>12000</v>
      </c>
      <c r="AF66" s="240">
        <f t="shared" si="25"/>
        <v>12000</v>
      </c>
      <c r="AG66" s="96"/>
      <c r="AH66" s="5">
        <f t="shared" si="40"/>
        <v>0</v>
      </c>
      <c r="AI66" s="41"/>
      <c r="AJ66" s="170"/>
      <c r="AK66" s="170"/>
      <c r="AL66" s="170"/>
      <c r="AM66" s="170">
        <v>99703</v>
      </c>
      <c r="AN66" s="170"/>
      <c r="AO66" s="170"/>
      <c r="AP66" s="170"/>
      <c r="AQ66" s="170"/>
      <c r="AR66" s="170"/>
      <c r="AS66" s="170"/>
      <c r="AT66" s="170"/>
      <c r="AU66" s="181"/>
      <c r="AV66" s="254">
        <f t="shared" si="49"/>
        <v>99703</v>
      </c>
      <c r="AW66" s="232">
        <f t="shared" si="47"/>
        <v>0</v>
      </c>
    </row>
    <row r="67" spans="1:49" ht="38.25" x14ac:dyDescent="0.2">
      <c r="A67" s="178"/>
      <c r="B67" s="180" t="s">
        <v>142</v>
      </c>
      <c r="C67" s="298" t="s">
        <v>145</v>
      </c>
      <c r="D67" s="281" t="s">
        <v>146</v>
      </c>
      <c r="E67" s="259"/>
      <c r="F67" s="259"/>
      <c r="G67" s="259"/>
      <c r="H67" s="260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48"/>
      <c r="AE67" s="239">
        <f t="shared" si="22"/>
        <v>0</v>
      </c>
      <c r="AF67" s="240">
        <f t="shared" si="25"/>
        <v>0</v>
      </c>
      <c r="AG67" s="96"/>
      <c r="AH67" s="5">
        <f t="shared" si="40"/>
        <v>0</v>
      </c>
      <c r="AI67" s="41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81">
        <v>12000</v>
      </c>
      <c r="AV67" s="254">
        <f t="shared" si="49"/>
        <v>12000</v>
      </c>
      <c r="AW67" s="232">
        <f t="shared" si="47"/>
        <v>0</v>
      </c>
    </row>
    <row r="68" spans="1:49" ht="25.5" x14ac:dyDescent="0.2">
      <c r="A68" s="178"/>
      <c r="B68" s="180" t="s">
        <v>142</v>
      </c>
      <c r="C68" s="298" t="s">
        <v>147</v>
      </c>
      <c r="D68" s="281" t="s">
        <v>148</v>
      </c>
      <c r="E68" s="259"/>
      <c r="F68" s="259"/>
      <c r="G68" s="259"/>
      <c r="H68" s="260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48"/>
      <c r="AE68" s="239">
        <f t="shared" si="22"/>
        <v>0</v>
      </c>
      <c r="AF68" s="240">
        <f t="shared" si="25"/>
        <v>0</v>
      </c>
      <c r="AG68" s="96"/>
      <c r="AH68" s="5">
        <f t="shared" si="40"/>
        <v>0</v>
      </c>
      <c r="AI68" s="41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81"/>
      <c r="AV68" s="254">
        <f t="shared" si="49"/>
        <v>0</v>
      </c>
      <c r="AW68" s="232">
        <f t="shared" si="47"/>
        <v>0</v>
      </c>
    </row>
    <row r="69" spans="1:49" ht="25.5" x14ac:dyDescent="0.2">
      <c r="A69" s="178"/>
      <c r="B69" s="180" t="s">
        <v>142</v>
      </c>
      <c r="C69" s="298" t="s">
        <v>149</v>
      </c>
      <c r="D69" s="281" t="s">
        <v>150</v>
      </c>
      <c r="E69" s="259"/>
      <c r="F69" s="259"/>
      <c r="G69" s="259"/>
      <c r="H69" s="260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48"/>
      <c r="AE69" s="239">
        <f t="shared" si="22"/>
        <v>0</v>
      </c>
      <c r="AF69" s="240">
        <f t="shared" si="25"/>
        <v>0</v>
      </c>
      <c r="AG69" s="96"/>
      <c r="AH69" s="5">
        <f t="shared" si="40"/>
        <v>0</v>
      </c>
      <c r="AI69" s="41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81"/>
      <c r="AV69" s="254">
        <f t="shared" si="49"/>
        <v>0</v>
      </c>
      <c r="AW69" s="232">
        <f t="shared" si="47"/>
        <v>0</v>
      </c>
    </row>
    <row r="70" spans="1:49" ht="38.25" x14ac:dyDescent="0.2">
      <c r="A70" s="178"/>
      <c r="B70" s="180" t="s">
        <v>142</v>
      </c>
      <c r="C70" s="298" t="s">
        <v>151</v>
      </c>
      <c r="D70" s="281" t="s">
        <v>152</v>
      </c>
      <c r="E70" s="259"/>
      <c r="F70" s="259"/>
      <c r="G70" s="259"/>
      <c r="H70" s="260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48"/>
      <c r="AE70" s="239">
        <f t="shared" si="22"/>
        <v>0</v>
      </c>
      <c r="AF70" s="240">
        <f t="shared" si="25"/>
        <v>0</v>
      </c>
      <c r="AG70" s="96"/>
      <c r="AH70" s="5">
        <f t="shared" si="40"/>
        <v>0</v>
      </c>
      <c r="AI70" s="41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81"/>
      <c r="AV70" s="254">
        <f t="shared" si="49"/>
        <v>0</v>
      </c>
      <c r="AW70" s="232">
        <f t="shared" si="47"/>
        <v>0</v>
      </c>
    </row>
    <row r="71" spans="1:49" ht="38.25" x14ac:dyDescent="0.2">
      <c r="A71" s="178"/>
      <c r="B71" s="180" t="s">
        <v>142</v>
      </c>
      <c r="C71" s="298" t="s">
        <v>153</v>
      </c>
      <c r="D71" s="281" t="s">
        <v>154</v>
      </c>
      <c r="E71" s="259"/>
      <c r="F71" s="259"/>
      <c r="G71" s="259"/>
      <c r="H71" s="260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48"/>
      <c r="AE71" s="239">
        <f t="shared" si="22"/>
        <v>0</v>
      </c>
      <c r="AF71" s="240">
        <f t="shared" si="25"/>
        <v>0</v>
      </c>
      <c r="AG71" s="96"/>
      <c r="AH71" s="5">
        <f t="shared" si="40"/>
        <v>0</v>
      </c>
      <c r="AI71" s="41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81"/>
      <c r="AV71" s="254">
        <f t="shared" si="49"/>
        <v>0</v>
      </c>
      <c r="AW71" s="232">
        <f t="shared" si="47"/>
        <v>0</v>
      </c>
    </row>
    <row r="72" spans="1:49" ht="38.25" x14ac:dyDescent="0.2">
      <c r="A72" s="178"/>
      <c r="B72" s="180" t="s">
        <v>142</v>
      </c>
      <c r="C72" s="298" t="s">
        <v>155</v>
      </c>
      <c r="D72" s="281" t="s">
        <v>156</v>
      </c>
      <c r="E72" s="259"/>
      <c r="F72" s="259"/>
      <c r="G72" s="259"/>
      <c r="H72" s="260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48"/>
      <c r="AE72" s="239">
        <f t="shared" si="22"/>
        <v>0</v>
      </c>
      <c r="AF72" s="240">
        <f t="shared" si="25"/>
        <v>0</v>
      </c>
      <c r="AG72" s="96"/>
      <c r="AH72" s="5">
        <f t="shared" si="40"/>
        <v>0</v>
      </c>
      <c r="AI72" s="41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81"/>
      <c r="AV72" s="254">
        <f t="shared" si="49"/>
        <v>0</v>
      </c>
      <c r="AW72" s="232">
        <f t="shared" si="47"/>
        <v>0</v>
      </c>
    </row>
    <row r="73" spans="1:49" ht="38.25" x14ac:dyDescent="0.2">
      <c r="A73" s="178"/>
      <c r="B73" s="180" t="s">
        <v>142</v>
      </c>
      <c r="C73" s="298" t="s">
        <v>157</v>
      </c>
      <c r="D73" s="281" t="s">
        <v>158</v>
      </c>
      <c r="E73" s="259"/>
      <c r="F73" s="259"/>
      <c r="G73" s="259"/>
      <c r="H73" s="260"/>
      <c r="I73" s="259"/>
      <c r="J73" s="259"/>
      <c r="K73" s="259"/>
      <c r="L73" s="259"/>
      <c r="M73" s="259"/>
      <c r="N73" s="259"/>
      <c r="O73" s="259"/>
      <c r="P73" s="259"/>
      <c r="Q73" s="259"/>
      <c r="R73" s="259"/>
      <c r="S73" s="259"/>
      <c r="T73" s="259"/>
      <c r="U73" s="259"/>
      <c r="V73" s="259"/>
      <c r="W73" s="259"/>
      <c r="X73" s="259"/>
      <c r="Y73" s="259"/>
      <c r="Z73" s="259"/>
      <c r="AA73" s="259"/>
      <c r="AB73" s="259"/>
      <c r="AC73" s="259"/>
      <c r="AD73" s="248"/>
      <c r="AE73" s="239">
        <f t="shared" si="22"/>
        <v>0</v>
      </c>
      <c r="AF73" s="240">
        <f t="shared" si="25"/>
        <v>0</v>
      </c>
      <c r="AG73" s="96"/>
      <c r="AH73" s="5">
        <f t="shared" si="40"/>
        <v>0</v>
      </c>
      <c r="AI73" s="41"/>
      <c r="AJ73" s="170"/>
      <c r="AK73" s="170"/>
      <c r="AL73" s="170"/>
      <c r="AM73" s="170"/>
      <c r="AN73" s="170"/>
      <c r="AO73" s="170"/>
      <c r="AP73" s="170"/>
      <c r="AQ73" s="170"/>
      <c r="AR73" s="170"/>
      <c r="AS73" s="170"/>
      <c r="AT73" s="170"/>
      <c r="AU73" s="181"/>
      <c r="AV73" s="254">
        <f t="shared" si="49"/>
        <v>0</v>
      </c>
      <c r="AW73" s="232">
        <f t="shared" si="47"/>
        <v>0</v>
      </c>
    </row>
    <row r="74" spans="1:49" ht="25.5" x14ac:dyDescent="0.2">
      <c r="A74" s="178"/>
      <c r="B74" s="180" t="s">
        <v>142</v>
      </c>
      <c r="C74" s="298" t="s">
        <v>159</v>
      </c>
      <c r="D74" s="281" t="s">
        <v>160</v>
      </c>
      <c r="E74" s="259"/>
      <c r="F74" s="259"/>
      <c r="G74" s="259"/>
      <c r="H74" s="260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48"/>
      <c r="AE74" s="239">
        <f t="shared" si="22"/>
        <v>0</v>
      </c>
      <c r="AF74" s="240">
        <f t="shared" si="25"/>
        <v>0</v>
      </c>
      <c r="AG74" s="96"/>
      <c r="AH74" s="5">
        <f t="shared" si="40"/>
        <v>0</v>
      </c>
      <c r="AI74" s="41"/>
      <c r="AJ74" s="170"/>
      <c r="AK74" s="170"/>
      <c r="AL74" s="170"/>
      <c r="AM74" s="170"/>
      <c r="AN74" s="170"/>
      <c r="AO74" s="170"/>
      <c r="AP74" s="170"/>
      <c r="AQ74" s="170"/>
      <c r="AR74" s="170"/>
      <c r="AS74" s="170"/>
      <c r="AT74" s="170"/>
      <c r="AU74" s="181"/>
      <c r="AV74" s="254">
        <f t="shared" si="49"/>
        <v>0</v>
      </c>
      <c r="AW74" s="232">
        <f t="shared" si="47"/>
        <v>0</v>
      </c>
    </row>
    <row r="75" spans="1:49" ht="38.25" x14ac:dyDescent="0.2">
      <c r="A75" s="178"/>
      <c r="B75" s="180" t="s">
        <v>142</v>
      </c>
      <c r="C75" s="298" t="s">
        <v>161</v>
      </c>
      <c r="D75" s="281" t="s">
        <v>162</v>
      </c>
      <c r="E75" s="259"/>
      <c r="F75" s="259"/>
      <c r="G75" s="259"/>
      <c r="H75" s="260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48"/>
      <c r="AE75" s="239">
        <f t="shared" si="22"/>
        <v>0</v>
      </c>
      <c r="AF75" s="240">
        <f t="shared" si="25"/>
        <v>0</v>
      </c>
      <c r="AG75" s="96"/>
      <c r="AH75" s="5">
        <f t="shared" si="40"/>
        <v>0</v>
      </c>
      <c r="AI75" s="41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81"/>
      <c r="AV75" s="254">
        <f t="shared" si="49"/>
        <v>0</v>
      </c>
      <c r="AW75" s="232">
        <f t="shared" si="47"/>
        <v>0</v>
      </c>
    </row>
    <row r="76" spans="1:49" ht="38.25" x14ac:dyDescent="0.2">
      <c r="A76" s="178"/>
      <c r="B76" s="180" t="s">
        <v>142</v>
      </c>
      <c r="C76" s="298" t="s">
        <v>163</v>
      </c>
      <c r="D76" s="281" t="s">
        <v>164</v>
      </c>
      <c r="E76" s="259"/>
      <c r="F76" s="259"/>
      <c r="G76" s="259"/>
      <c r="H76" s="260"/>
      <c r="I76" s="259"/>
      <c r="J76" s="259"/>
      <c r="K76" s="259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48"/>
      <c r="AE76" s="239">
        <f t="shared" si="22"/>
        <v>0</v>
      </c>
      <c r="AF76" s="240">
        <f t="shared" si="25"/>
        <v>0</v>
      </c>
      <c r="AG76" s="96"/>
      <c r="AH76" s="5">
        <f t="shared" si="40"/>
        <v>0</v>
      </c>
      <c r="AI76" s="41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81"/>
      <c r="AV76" s="254">
        <f t="shared" si="49"/>
        <v>0</v>
      </c>
      <c r="AW76" s="232">
        <f t="shared" si="47"/>
        <v>0</v>
      </c>
    </row>
    <row r="77" spans="1:49" ht="38.25" x14ac:dyDescent="0.2">
      <c r="A77" s="178"/>
      <c r="B77" s="180" t="s">
        <v>142</v>
      </c>
      <c r="C77" s="298" t="s">
        <v>165</v>
      </c>
      <c r="D77" s="281" t="s">
        <v>166</v>
      </c>
      <c r="E77" s="259"/>
      <c r="F77" s="259"/>
      <c r="G77" s="259"/>
      <c r="H77" s="260"/>
      <c r="I77" s="259"/>
      <c r="J77" s="259"/>
      <c r="K77" s="259"/>
      <c r="L77" s="259"/>
      <c r="M77" s="259"/>
      <c r="N77" s="259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48"/>
      <c r="AE77" s="239">
        <f t="shared" si="22"/>
        <v>0</v>
      </c>
      <c r="AF77" s="240">
        <f t="shared" si="25"/>
        <v>0</v>
      </c>
      <c r="AG77" s="96"/>
      <c r="AH77" s="5">
        <f t="shared" si="40"/>
        <v>0</v>
      </c>
      <c r="AI77" s="41"/>
      <c r="AJ77" s="170"/>
      <c r="AK77" s="170"/>
      <c r="AL77" s="170"/>
      <c r="AM77" s="170"/>
      <c r="AN77" s="170"/>
      <c r="AO77" s="170"/>
      <c r="AP77" s="170"/>
      <c r="AQ77" s="170"/>
      <c r="AR77" s="170"/>
      <c r="AS77" s="170"/>
      <c r="AT77" s="170"/>
      <c r="AU77" s="181"/>
      <c r="AV77" s="254">
        <f t="shared" si="49"/>
        <v>0</v>
      </c>
      <c r="AW77" s="232">
        <f t="shared" si="47"/>
        <v>0</v>
      </c>
    </row>
    <row r="78" spans="1:49" ht="38.25" x14ac:dyDescent="0.2">
      <c r="A78" s="178"/>
      <c r="B78" s="180"/>
      <c r="C78" s="298">
        <v>265</v>
      </c>
      <c r="D78" s="281" t="s">
        <v>167</v>
      </c>
      <c r="E78" s="259"/>
      <c r="F78" s="259"/>
      <c r="G78" s="259"/>
      <c r="H78" s="260"/>
      <c r="I78" s="259"/>
      <c r="J78" s="259"/>
      <c r="K78" s="259"/>
      <c r="L78" s="259"/>
      <c r="M78" s="259"/>
      <c r="N78" s="259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48"/>
      <c r="AE78" s="239">
        <f t="shared" si="22"/>
        <v>0</v>
      </c>
      <c r="AF78" s="240">
        <f t="shared" si="25"/>
        <v>0</v>
      </c>
      <c r="AG78" s="96"/>
      <c r="AH78" s="5">
        <f t="shared" si="40"/>
        <v>0</v>
      </c>
      <c r="AI78" s="41"/>
      <c r="AJ78" s="170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181"/>
      <c r="AV78" s="254">
        <f t="shared" si="49"/>
        <v>0</v>
      </c>
      <c r="AW78" s="232">
        <f t="shared" si="47"/>
        <v>0</v>
      </c>
    </row>
    <row r="79" spans="1:49" ht="38.25" x14ac:dyDescent="0.2">
      <c r="A79" s="178"/>
      <c r="B79" s="180"/>
      <c r="C79" s="298">
        <v>266</v>
      </c>
      <c r="D79" s="281" t="s">
        <v>168</v>
      </c>
      <c r="E79" s="259"/>
      <c r="F79" s="259"/>
      <c r="G79" s="259"/>
      <c r="H79" s="260"/>
      <c r="I79" s="259"/>
      <c r="J79" s="259"/>
      <c r="K79" s="259"/>
      <c r="L79" s="259"/>
      <c r="M79" s="259"/>
      <c r="N79" s="259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48"/>
      <c r="AE79" s="239">
        <f t="shared" si="22"/>
        <v>0</v>
      </c>
      <c r="AF79" s="240">
        <f t="shared" si="25"/>
        <v>0</v>
      </c>
      <c r="AG79" s="96"/>
      <c r="AH79" s="5">
        <f t="shared" si="40"/>
        <v>0</v>
      </c>
      <c r="AI79" s="41"/>
      <c r="AJ79" s="170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81"/>
      <c r="AV79" s="254">
        <f t="shared" si="49"/>
        <v>0</v>
      </c>
      <c r="AW79" s="232">
        <f t="shared" si="47"/>
        <v>0</v>
      </c>
    </row>
    <row r="80" spans="1:49" ht="38.25" x14ac:dyDescent="0.2">
      <c r="A80" s="178"/>
      <c r="B80" s="180"/>
      <c r="C80" s="298">
        <v>267</v>
      </c>
      <c r="D80" s="281" t="s">
        <v>169</v>
      </c>
      <c r="E80" s="259"/>
      <c r="F80" s="259"/>
      <c r="G80" s="259"/>
      <c r="H80" s="260"/>
      <c r="I80" s="259"/>
      <c r="J80" s="259"/>
      <c r="K80" s="259"/>
      <c r="L80" s="259"/>
      <c r="M80" s="259"/>
      <c r="N80" s="259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48"/>
      <c r="AE80" s="239">
        <f t="shared" si="22"/>
        <v>0</v>
      </c>
      <c r="AF80" s="240">
        <f t="shared" si="25"/>
        <v>0</v>
      </c>
      <c r="AG80" s="96"/>
      <c r="AH80" s="5">
        <f t="shared" si="40"/>
        <v>0</v>
      </c>
      <c r="AI80" s="41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81"/>
      <c r="AV80" s="254">
        <f t="shared" si="49"/>
        <v>0</v>
      </c>
      <c r="AW80" s="232">
        <f t="shared" si="47"/>
        <v>0</v>
      </c>
    </row>
    <row r="81" spans="1:50" ht="25.5" x14ac:dyDescent="0.2">
      <c r="A81" s="178"/>
      <c r="B81" s="180"/>
      <c r="C81" s="298">
        <v>268</v>
      </c>
      <c r="D81" s="281" t="s">
        <v>170</v>
      </c>
      <c r="E81" s="259"/>
      <c r="F81" s="259"/>
      <c r="G81" s="259"/>
      <c r="H81" s="260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48"/>
      <c r="AE81" s="239">
        <f t="shared" si="22"/>
        <v>0</v>
      </c>
      <c r="AF81" s="240">
        <f t="shared" si="25"/>
        <v>0</v>
      </c>
      <c r="AG81" s="96"/>
      <c r="AH81" s="5">
        <f t="shared" si="40"/>
        <v>0</v>
      </c>
      <c r="AI81" s="41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81"/>
      <c r="AV81" s="254">
        <f t="shared" si="49"/>
        <v>0</v>
      </c>
      <c r="AW81" s="232">
        <f t="shared" si="47"/>
        <v>0</v>
      </c>
    </row>
    <row r="82" spans="1:50" ht="25.5" x14ac:dyDescent="0.2">
      <c r="A82" s="178"/>
      <c r="B82" s="180"/>
      <c r="C82" s="298">
        <v>269</v>
      </c>
      <c r="D82" s="281" t="s">
        <v>171</v>
      </c>
      <c r="E82" s="259"/>
      <c r="F82" s="259"/>
      <c r="G82" s="259"/>
      <c r="H82" s="260"/>
      <c r="I82" s="259"/>
      <c r="J82" s="259"/>
      <c r="K82" s="259"/>
      <c r="L82" s="259"/>
      <c r="M82" s="259"/>
      <c r="N82" s="259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48"/>
      <c r="AE82" s="239">
        <f t="shared" si="22"/>
        <v>0</v>
      </c>
      <c r="AF82" s="240">
        <f t="shared" si="25"/>
        <v>0</v>
      </c>
      <c r="AG82" s="96"/>
      <c r="AH82" s="5">
        <f t="shared" si="40"/>
        <v>0</v>
      </c>
      <c r="AI82" s="41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81"/>
      <c r="AV82" s="254">
        <f t="shared" si="49"/>
        <v>0</v>
      </c>
      <c r="AW82" s="232">
        <f t="shared" si="47"/>
        <v>0</v>
      </c>
    </row>
    <row r="83" spans="1:50" ht="25.5" x14ac:dyDescent="0.2">
      <c r="A83" s="178"/>
      <c r="B83" s="180"/>
      <c r="C83" s="298">
        <v>270</v>
      </c>
      <c r="D83" s="281" t="s">
        <v>172</v>
      </c>
      <c r="E83" s="259"/>
      <c r="F83" s="259"/>
      <c r="G83" s="259"/>
      <c r="H83" s="260"/>
      <c r="I83" s="259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48"/>
      <c r="AE83" s="239">
        <f t="shared" si="22"/>
        <v>0</v>
      </c>
      <c r="AF83" s="240">
        <f t="shared" si="25"/>
        <v>0</v>
      </c>
      <c r="AG83" s="96"/>
      <c r="AH83" s="5">
        <f t="shared" si="40"/>
        <v>0</v>
      </c>
      <c r="AI83" s="41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81"/>
      <c r="AV83" s="254">
        <f t="shared" si="49"/>
        <v>0</v>
      </c>
      <c r="AW83" s="232">
        <f t="shared" si="47"/>
        <v>0</v>
      </c>
    </row>
    <row r="84" spans="1:50" ht="25.5" x14ac:dyDescent="0.2">
      <c r="A84" s="178"/>
      <c r="B84" s="180"/>
      <c r="C84" s="298">
        <v>271</v>
      </c>
      <c r="D84" s="281" t="s">
        <v>173</v>
      </c>
      <c r="E84" s="259"/>
      <c r="F84" s="259"/>
      <c r="G84" s="259"/>
      <c r="H84" s="260"/>
      <c r="I84" s="259"/>
      <c r="J84" s="259"/>
      <c r="K84" s="259"/>
      <c r="L84" s="259"/>
      <c r="M84" s="259"/>
      <c r="N84" s="259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48"/>
      <c r="AE84" s="239">
        <f t="shared" si="22"/>
        <v>0</v>
      </c>
      <c r="AF84" s="240">
        <f t="shared" si="25"/>
        <v>0</v>
      </c>
      <c r="AG84" s="96"/>
      <c r="AH84" s="5">
        <f t="shared" si="40"/>
        <v>0</v>
      </c>
      <c r="AI84" s="41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81"/>
      <c r="AV84" s="254">
        <f t="shared" si="49"/>
        <v>0</v>
      </c>
      <c r="AW84" s="232">
        <f t="shared" si="47"/>
        <v>0</v>
      </c>
    </row>
    <row r="85" spans="1:50" ht="38.25" x14ac:dyDescent="0.2">
      <c r="A85" s="178"/>
      <c r="B85" s="180"/>
      <c r="C85" s="298">
        <v>272</v>
      </c>
      <c r="D85" s="281" t="s">
        <v>174</v>
      </c>
      <c r="E85" s="259"/>
      <c r="F85" s="259"/>
      <c r="G85" s="259"/>
      <c r="H85" s="260"/>
      <c r="I85" s="259"/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48"/>
      <c r="AE85" s="239">
        <f t="shared" si="22"/>
        <v>0</v>
      </c>
      <c r="AF85" s="240">
        <f t="shared" si="25"/>
        <v>0</v>
      </c>
      <c r="AG85" s="96"/>
      <c r="AH85" s="5">
        <f t="shared" si="40"/>
        <v>0</v>
      </c>
      <c r="AI85" s="41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81"/>
      <c r="AV85" s="254">
        <f t="shared" si="49"/>
        <v>0</v>
      </c>
      <c r="AW85" s="232">
        <f t="shared" si="47"/>
        <v>0</v>
      </c>
    </row>
    <row r="86" spans="1:50" ht="25.5" x14ac:dyDescent="0.2">
      <c r="A86" s="178"/>
      <c r="B86" s="180"/>
      <c r="C86" s="298">
        <v>273</v>
      </c>
      <c r="D86" s="281" t="s">
        <v>175</v>
      </c>
      <c r="E86" s="259"/>
      <c r="F86" s="259"/>
      <c r="G86" s="259"/>
      <c r="H86" s="260"/>
      <c r="I86" s="259"/>
      <c r="J86" s="259"/>
      <c r="K86" s="259"/>
      <c r="L86" s="259"/>
      <c r="M86" s="259"/>
      <c r="N86" s="259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48"/>
      <c r="AE86" s="239">
        <f t="shared" si="22"/>
        <v>0</v>
      </c>
      <c r="AF86" s="240">
        <f t="shared" si="25"/>
        <v>0</v>
      </c>
      <c r="AG86" s="96"/>
      <c r="AH86" s="5">
        <f t="shared" si="40"/>
        <v>0</v>
      </c>
      <c r="AI86" s="41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81"/>
      <c r="AV86" s="254">
        <f t="shared" si="49"/>
        <v>0</v>
      </c>
      <c r="AW86" s="232">
        <f t="shared" si="47"/>
        <v>0</v>
      </c>
    </row>
    <row r="87" spans="1:50" ht="25.5" x14ac:dyDescent="0.2">
      <c r="A87" s="178"/>
      <c r="B87" s="180"/>
      <c r="C87" s="298">
        <v>274</v>
      </c>
      <c r="D87" s="281" t="s">
        <v>176</v>
      </c>
      <c r="E87" s="259"/>
      <c r="F87" s="259"/>
      <c r="G87" s="259"/>
      <c r="H87" s="260"/>
      <c r="I87" s="259"/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48"/>
      <c r="AE87" s="239">
        <f t="shared" si="22"/>
        <v>0</v>
      </c>
      <c r="AF87" s="240">
        <f t="shared" si="25"/>
        <v>0</v>
      </c>
      <c r="AG87" s="96"/>
      <c r="AH87" s="5">
        <f t="shared" si="40"/>
        <v>0</v>
      </c>
      <c r="AI87" s="41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81"/>
      <c r="AV87" s="254">
        <f t="shared" si="49"/>
        <v>0</v>
      </c>
      <c r="AW87" s="232">
        <f t="shared" si="47"/>
        <v>0</v>
      </c>
    </row>
    <row r="88" spans="1:50" ht="38.25" x14ac:dyDescent="0.2">
      <c r="A88" s="178"/>
      <c r="B88" s="180"/>
      <c r="C88" s="298">
        <v>275</v>
      </c>
      <c r="D88" s="281" t="s">
        <v>177</v>
      </c>
      <c r="E88" s="259"/>
      <c r="F88" s="259"/>
      <c r="G88" s="259"/>
      <c r="H88" s="260"/>
      <c r="I88" s="259"/>
      <c r="J88" s="259"/>
      <c r="K88" s="259"/>
      <c r="L88" s="259"/>
      <c r="M88" s="259"/>
      <c r="N88" s="259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48"/>
      <c r="AE88" s="239">
        <f t="shared" si="22"/>
        <v>0</v>
      </c>
      <c r="AF88" s="240">
        <f t="shared" si="25"/>
        <v>0</v>
      </c>
      <c r="AG88" s="96"/>
      <c r="AH88" s="5">
        <f t="shared" si="40"/>
        <v>0</v>
      </c>
      <c r="AI88" s="41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81"/>
      <c r="AV88" s="254">
        <f t="shared" si="49"/>
        <v>0</v>
      </c>
      <c r="AW88" s="232">
        <f t="shared" si="47"/>
        <v>0</v>
      </c>
    </row>
    <row r="89" spans="1:50" ht="25.5" x14ac:dyDescent="0.2">
      <c r="A89" s="178"/>
      <c r="B89" s="180"/>
      <c r="C89" s="298">
        <v>276</v>
      </c>
      <c r="D89" s="281" t="s">
        <v>178</v>
      </c>
      <c r="E89" s="259"/>
      <c r="F89" s="259"/>
      <c r="G89" s="259"/>
      <c r="H89" s="260"/>
      <c r="I89" s="259"/>
      <c r="J89" s="259"/>
      <c r="K89" s="259"/>
      <c r="L89" s="259"/>
      <c r="M89" s="259"/>
      <c r="N89" s="259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48"/>
      <c r="AE89" s="239">
        <f t="shared" si="22"/>
        <v>0</v>
      </c>
      <c r="AF89" s="240">
        <f t="shared" si="25"/>
        <v>0</v>
      </c>
      <c r="AG89" s="96"/>
      <c r="AH89" s="5">
        <f t="shared" si="40"/>
        <v>0</v>
      </c>
      <c r="AI89" s="41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81"/>
      <c r="AV89" s="254">
        <f t="shared" si="49"/>
        <v>0</v>
      </c>
      <c r="AW89" s="232">
        <f t="shared" si="47"/>
        <v>0</v>
      </c>
    </row>
    <row r="90" spans="1:50" ht="25.5" x14ac:dyDescent="0.2">
      <c r="A90" s="178"/>
      <c r="B90" s="180"/>
      <c r="C90" s="298">
        <v>277</v>
      </c>
      <c r="D90" s="281" t="s">
        <v>179</v>
      </c>
      <c r="E90" s="259"/>
      <c r="F90" s="259"/>
      <c r="G90" s="259"/>
      <c r="H90" s="260"/>
      <c r="I90" s="259"/>
      <c r="J90" s="259"/>
      <c r="K90" s="259"/>
      <c r="L90" s="259"/>
      <c r="M90" s="259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48"/>
      <c r="AE90" s="239">
        <f t="shared" si="22"/>
        <v>0</v>
      </c>
      <c r="AF90" s="240">
        <f t="shared" si="25"/>
        <v>0</v>
      </c>
      <c r="AG90" s="96"/>
      <c r="AH90" s="5">
        <f t="shared" si="40"/>
        <v>0</v>
      </c>
      <c r="AI90" s="41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81"/>
      <c r="AV90" s="254">
        <f t="shared" si="49"/>
        <v>0</v>
      </c>
      <c r="AW90" s="232">
        <f t="shared" si="47"/>
        <v>0</v>
      </c>
    </row>
    <row r="91" spans="1:50" ht="38.25" x14ac:dyDescent="0.2">
      <c r="A91" s="178"/>
      <c r="B91" s="180"/>
      <c r="C91" s="298">
        <v>278</v>
      </c>
      <c r="D91" s="281" t="s">
        <v>180</v>
      </c>
      <c r="E91" s="259"/>
      <c r="F91" s="259"/>
      <c r="G91" s="259"/>
      <c r="H91" s="260"/>
      <c r="I91" s="259"/>
      <c r="J91" s="259"/>
      <c r="K91" s="259"/>
      <c r="L91" s="259"/>
      <c r="M91" s="259"/>
      <c r="N91" s="259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48"/>
      <c r="AE91" s="239">
        <f t="shared" si="22"/>
        <v>0</v>
      </c>
      <c r="AF91" s="240">
        <f t="shared" si="25"/>
        <v>0</v>
      </c>
      <c r="AG91" s="96"/>
      <c r="AH91" s="5">
        <f t="shared" si="40"/>
        <v>0</v>
      </c>
      <c r="AI91" s="41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81"/>
      <c r="AV91" s="254">
        <f t="shared" si="49"/>
        <v>0</v>
      </c>
      <c r="AW91" s="232">
        <f t="shared" si="47"/>
        <v>0</v>
      </c>
    </row>
    <row r="92" spans="1:50" s="152" customFormat="1" x14ac:dyDescent="0.2">
      <c r="A92" s="176"/>
      <c r="B92" s="175" t="s">
        <v>71</v>
      </c>
      <c r="C92" s="286"/>
      <c r="D92" s="287" t="s">
        <v>181</v>
      </c>
      <c r="E92" s="288">
        <f t="shared" ref="E92:AD92" si="50">SUM(E93:E96)</f>
        <v>0</v>
      </c>
      <c r="F92" s="288">
        <f t="shared" si="50"/>
        <v>0</v>
      </c>
      <c r="G92" s="288">
        <f t="shared" si="50"/>
        <v>0</v>
      </c>
      <c r="H92" s="288">
        <f t="shared" si="50"/>
        <v>0</v>
      </c>
      <c r="I92" s="288">
        <f t="shared" si="50"/>
        <v>0</v>
      </c>
      <c r="J92" s="288">
        <f t="shared" si="50"/>
        <v>0</v>
      </c>
      <c r="K92" s="288">
        <f t="shared" si="50"/>
        <v>0</v>
      </c>
      <c r="L92" s="288">
        <f t="shared" si="50"/>
        <v>0</v>
      </c>
      <c r="M92" s="288">
        <f t="shared" si="50"/>
        <v>0</v>
      </c>
      <c r="N92" s="288">
        <f t="shared" si="50"/>
        <v>0</v>
      </c>
      <c r="O92" s="288">
        <f t="shared" si="50"/>
        <v>0</v>
      </c>
      <c r="P92" s="288">
        <f t="shared" si="50"/>
        <v>0</v>
      </c>
      <c r="Q92" s="288">
        <f t="shared" si="50"/>
        <v>0</v>
      </c>
      <c r="R92" s="288">
        <f t="shared" si="50"/>
        <v>1710492</v>
      </c>
      <c r="S92" s="288">
        <f t="shared" si="50"/>
        <v>744711</v>
      </c>
      <c r="T92" s="288">
        <f t="shared" si="50"/>
        <v>0</v>
      </c>
      <c r="U92" s="288">
        <f t="shared" si="50"/>
        <v>0</v>
      </c>
      <c r="V92" s="288">
        <f t="shared" si="50"/>
        <v>0</v>
      </c>
      <c r="W92" s="288">
        <f t="shared" si="50"/>
        <v>0</v>
      </c>
      <c r="X92" s="288">
        <f t="shared" si="50"/>
        <v>0</v>
      </c>
      <c r="Y92" s="288">
        <f t="shared" si="50"/>
        <v>0</v>
      </c>
      <c r="Z92" s="288">
        <f t="shared" si="50"/>
        <v>0</v>
      </c>
      <c r="AA92" s="288">
        <f t="shared" si="50"/>
        <v>0</v>
      </c>
      <c r="AB92" s="288">
        <f t="shared" si="50"/>
        <v>0</v>
      </c>
      <c r="AC92" s="288">
        <f t="shared" si="50"/>
        <v>0</v>
      </c>
      <c r="AD92" s="225">
        <f t="shared" si="50"/>
        <v>0</v>
      </c>
      <c r="AE92" s="239">
        <f t="shared" si="22"/>
        <v>2455203</v>
      </c>
      <c r="AF92" s="240">
        <f t="shared" si="25"/>
        <v>2455203</v>
      </c>
      <c r="AG92" s="96"/>
      <c r="AH92" s="5">
        <f t="shared" si="40"/>
        <v>0</v>
      </c>
      <c r="AI92" s="41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81"/>
      <c r="AV92" s="254">
        <f t="shared" si="49"/>
        <v>0</v>
      </c>
      <c r="AW92" s="232">
        <f t="shared" si="47"/>
        <v>0</v>
      </c>
      <c r="AX92" s="21"/>
    </row>
    <row r="93" spans="1:50" x14ac:dyDescent="0.2">
      <c r="A93" s="178"/>
      <c r="B93" s="180"/>
      <c r="C93" s="299" t="s">
        <v>87</v>
      </c>
      <c r="D93" s="300" t="s">
        <v>182</v>
      </c>
      <c r="E93" s="259"/>
      <c r="F93" s="259"/>
      <c r="G93" s="259"/>
      <c r="H93" s="260"/>
      <c r="I93" s="259"/>
      <c r="J93" s="259"/>
      <c r="K93" s="259"/>
      <c r="L93" s="259"/>
      <c r="M93" s="259"/>
      <c r="N93" s="259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48"/>
      <c r="AE93" s="239">
        <f t="shared" si="22"/>
        <v>0</v>
      </c>
      <c r="AF93" s="240">
        <f t="shared" si="25"/>
        <v>0</v>
      </c>
      <c r="AG93" s="96"/>
      <c r="AH93" s="5">
        <f t="shared" si="40"/>
        <v>0</v>
      </c>
      <c r="AI93" s="41"/>
      <c r="AJ93" s="156">
        <f t="shared" ref="AJ93:AV93" si="51">SUM(AJ94:AJ96)</f>
        <v>0</v>
      </c>
      <c r="AK93" s="156">
        <f t="shared" si="51"/>
        <v>0</v>
      </c>
      <c r="AL93" s="156">
        <f t="shared" si="51"/>
        <v>0</v>
      </c>
      <c r="AM93" s="156">
        <f t="shared" si="51"/>
        <v>0</v>
      </c>
      <c r="AN93" s="156">
        <f t="shared" si="51"/>
        <v>0</v>
      </c>
      <c r="AO93" s="156">
        <f t="shared" si="51"/>
        <v>0</v>
      </c>
      <c r="AP93" s="156">
        <f t="shared" si="51"/>
        <v>0</v>
      </c>
      <c r="AQ93" s="156">
        <f t="shared" si="51"/>
        <v>0</v>
      </c>
      <c r="AR93" s="156">
        <f t="shared" si="51"/>
        <v>0</v>
      </c>
      <c r="AS93" s="156">
        <f t="shared" si="51"/>
        <v>0</v>
      </c>
      <c r="AT93" s="156">
        <f t="shared" si="51"/>
        <v>0</v>
      </c>
      <c r="AU93" s="163">
        <f t="shared" si="51"/>
        <v>0</v>
      </c>
      <c r="AV93" s="164">
        <f t="shared" si="51"/>
        <v>0</v>
      </c>
      <c r="AW93" s="232">
        <f t="shared" si="47"/>
        <v>2455203</v>
      </c>
      <c r="AX93" s="152"/>
    </row>
    <row r="94" spans="1:50" x14ac:dyDescent="0.2">
      <c r="A94" s="178"/>
      <c r="B94" s="180"/>
      <c r="C94" s="299" t="s">
        <v>107</v>
      </c>
      <c r="D94" s="300" t="s">
        <v>183</v>
      </c>
      <c r="E94" s="259"/>
      <c r="F94" s="259"/>
      <c r="G94" s="259"/>
      <c r="H94" s="260"/>
      <c r="I94" s="259"/>
      <c r="J94" s="259"/>
      <c r="K94" s="259"/>
      <c r="L94" s="259"/>
      <c r="M94" s="259"/>
      <c r="N94" s="259"/>
      <c r="O94" s="259"/>
      <c r="P94" s="259"/>
      <c r="Q94" s="259"/>
      <c r="R94" s="259">
        <v>1710492</v>
      </c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48"/>
      <c r="AE94" s="239">
        <f t="shared" si="22"/>
        <v>1710492</v>
      </c>
      <c r="AF94" s="240">
        <f t="shared" si="25"/>
        <v>1710492</v>
      </c>
      <c r="AG94" s="96"/>
      <c r="AH94" s="5">
        <f t="shared" si="40"/>
        <v>0</v>
      </c>
      <c r="AI94" s="41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  <c r="AU94" s="181"/>
      <c r="AV94" s="254">
        <f>SUM(AJ94:AU94)</f>
        <v>0</v>
      </c>
      <c r="AW94" s="232">
        <f t="shared" si="47"/>
        <v>0</v>
      </c>
    </row>
    <row r="95" spans="1:50" x14ac:dyDescent="0.2">
      <c r="A95" s="178"/>
      <c r="B95" s="180"/>
      <c r="C95" s="301" t="s">
        <v>184</v>
      </c>
      <c r="D95" s="281" t="s">
        <v>185</v>
      </c>
      <c r="E95" s="259"/>
      <c r="F95" s="259"/>
      <c r="G95" s="259"/>
      <c r="H95" s="260"/>
      <c r="I95" s="259"/>
      <c r="J95" s="259"/>
      <c r="K95" s="259"/>
      <c r="L95" s="259"/>
      <c r="M95" s="259"/>
      <c r="N95" s="259"/>
      <c r="O95" s="259"/>
      <c r="P95" s="259"/>
      <c r="Q95" s="259"/>
      <c r="R95" s="259"/>
      <c r="S95" s="259">
        <v>744711</v>
      </c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48"/>
      <c r="AE95" s="239">
        <f t="shared" si="22"/>
        <v>744711</v>
      </c>
      <c r="AF95" s="240">
        <f t="shared" si="25"/>
        <v>744711</v>
      </c>
      <c r="AG95" s="96"/>
      <c r="AH95" s="5">
        <f t="shared" si="40"/>
        <v>0</v>
      </c>
      <c r="AI95" s="41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  <c r="AT95" s="170"/>
      <c r="AU95" s="181"/>
      <c r="AV95" s="254">
        <f>SUM(AJ95:AU95)</f>
        <v>0</v>
      </c>
      <c r="AW95" s="232">
        <f t="shared" si="47"/>
        <v>1710492</v>
      </c>
    </row>
    <row r="96" spans="1:50" x14ac:dyDescent="0.2">
      <c r="A96" s="178"/>
      <c r="B96" s="180"/>
      <c r="C96" s="299"/>
      <c r="D96" s="281"/>
      <c r="E96" s="259"/>
      <c r="F96" s="259"/>
      <c r="G96" s="259"/>
      <c r="H96" s="260"/>
      <c r="I96" s="259"/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48"/>
      <c r="AE96" s="239">
        <f t="shared" si="22"/>
        <v>0</v>
      </c>
      <c r="AF96" s="240">
        <f t="shared" si="25"/>
        <v>0</v>
      </c>
      <c r="AG96" s="96"/>
      <c r="AH96" s="5">
        <f t="shared" si="40"/>
        <v>0</v>
      </c>
      <c r="AI96" s="41"/>
      <c r="AJ96" s="170"/>
      <c r="AK96" s="170"/>
      <c r="AL96" s="170"/>
      <c r="AM96" s="170"/>
      <c r="AN96" s="170"/>
      <c r="AO96" s="170"/>
      <c r="AP96" s="170"/>
      <c r="AQ96" s="170"/>
      <c r="AR96" s="170"/>
      <c r="AS96" s="170"/>
      <c r="AT96" s="170"/>
      <c r="AU96" s="181"/>
      <c r="AV96" s="254">
        <f>SUM(AJ96:AU96)</f>
        <v>0</v>
      </c>
      <c r="AW96" s="232">
        <f t="shared" si="47"/>
        <v>744711</v>
      </c>
    </row>
    <row r="97" spans="1:50" s="152" customFormat="1" x14ac:dyDescent="0.2">
      <c r="A97" s="176"/>
      <c r="B97" s="175" t="s">
        <v>110</v>
      </c>
      <c r="C97" s="286"/>
      <c r="D97" s="287" t="s">
        <v>111</v>
      </c>
      <c r="E97" s="288">
        <f t="shared" ref="E97:AD97" si="52">SUM(E98:E202)</f>
        <v>25148359</v>
      </c>
      <c r="F97" s="288">
        <f t="shared" si="52"/>
        <v>0</v>
      </c>
      <c r="G97" s="288">
        <f t="shared" si="52"/>
        <v>1113028</v>
      </c>
      <c r="H97" s="289">
        <f t="shared" si="52"/>
        <v>4596862</v>
      </c>
      <c r="I97" s="288">
        <f t="shared" si="52"/>
        <v>-12000</v>
      </c>
      <c r="J97" s="288">
        <f t="shared" si="52"/>
        <v>0</v>
      </c>
      <c r="K97" s="288">
        <f t="shared" si="52"/>
        <v>0</v>
      </c>
      <c r="L97" s="288">
        <f t="shared" si="52"/>
        <v>0</v>
      </c>
      <c r="M97" s="288">
        <f t="shared" si="52"/>
        <v>0</v>
      </c>
      <c r="N97" s="288">
        <f t="shared" si="52"/>
        <v>343590</v>
      </c>
      <c r="O97" s="288">
        <f t="shared" si="52"/>
        <v>0</v>
      </c>
      <c r="P97" s="288">
        <f t="shared" si="52"/>
        <v>0</v>
      </c>
      <c r="Q97" s="288">
        <f t="shared" si="52"/>
        <v>1243483</v>
      </c>
      <c r="R97" s="288">
        <f t="shared" si="52"/>
        <v>0</v>
      </c>
      <c r="S97" s="288">
        <f t="shared" si="52"/>
        <v>0</v>
      </c>
      <c r="T97" s="288">
        <f t="shared" si="52"/>
        <v>0</v>
      </c>
      <c r="U97" s="288">
        <f t="shared" si="52"/>
        <v>-1318845</v>
      </c>
      <c r="V97" s="288">
        <f t="shared" si="52"/>
        <v>2366276</v>
      </c>
      <c r="W97" s="288">
        <f t="shared" si="52"/>
        <v>174917</v>
      </c>
      <c r="X97" s="288">
        <f t="shared" si="52"/>
        <v>0</v>
      </c>
      <c r="Y97" s="288">
        <f t="shared" si="52"/>
        <v>0</v>
      </c>
      <c r="Z97" s="288">
        <f t="shared" si="52"/>
        <v>0</v>
      </c>
      <c r="AA97" s="288">
        <f t="shared" si="52"/>
        <v>300000</v>
      </c>
      <c r="AB97" s="288">
        <f t="shared" si="52"/>
        <v>0</v>
      </c>
      <c r="AC97" s="288">
        <f t="shared" si="52"/>
        <v>0</v>
      </c>
      <c r="AD97" s="225">
        <f t="shared" si="52"/>
        <v>0</v>
      </c>
      <c r="AE97" s="239">
        <f t="shared" ref="AE97:AE160" si="53">SUM(E97:U97)+W97+X97+Y97+Z97+AB97+AC97</f>
        <v>31289394</v>
      </c>
      <c r="AF97" s="240">
        <f t="shared" ref="AF97:AF160" si="54">SUM(E97:AD97)</f>
        <v>33955670</v>
      </c>
      <c r="AG97" s="96"/>
      <c r="AH97" s="5">
        <f t="shared" si="40"/>
        <v>2666276</v>
      </c>
      <c r="AI97" s="41"/>
      <c r="AJ97" s="170"/>
      <c r="AK97" s="170"/>
      <c r="AL97" s="170"/>
      <c r="AM97" s="170"/>
      <c r="AN97" s="170"/>
      <c r="AO97" s="170"/>
      <c r="AP97" s="170"/>
      <c r="AQ97" s="170"/>
      <c r="AR97" s="170"/>
      <c r="AS97" s="170"/>
      <c r="AT97" s="170"/>
      <c r="AU97" s="181"/>
      <c r="AV97" s="254"/>
      <c r="AW97" s="232"/>
      <c r="AX97" s="21"/>
    </row>
    <row r="98" spans="1:50" x14ac:dyDescent="0.2">
      <c r="A98" s="178"/>
      <c r="B98" s="178"/>
      <c r="C98" s="257">
        <v>100</v>
      </c>
      <c r="D98" s="292" t="s">
        <v>186</v>
      </c>
      <c r="E98" s="259">
        <v>7935727</v>
      </c>
      <c r="F98" s="259"/>
      <c r="G98" s="259">
        <v>1113028</v>
      </c>
      <c r="H98" s="260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>
        <v>-1248755</v>
      </c>
      <c r="V98" s="259"/>
      <c r="W98" s="259">
        <v>-521472</v>
      </c>
      <c r="X98" s="259"/>
      <c r="Y98" s="259"/>
      <c r="Z98" s="259"/>
      <c r="AA98" s="259"/>
      <c r="AB98" s="259"/>
      <c r="AC98" s="259"/>
      <c r="AD98" s="248"/>
      <c r="AE98" s="239">
        <f t="shared" si="53"/>
        <v>7278528</v>
      </c>
      <c r="AF98" s="240">
        <f t="shared" si="54"/>
        <v>7278528</v>
      </c>
      <c r="AG98" s="96"/>
      <c r="AH98" s="5">
        <f t="shared" si="40"/>
        <v>0</v>
      </c>
      <c r="AI98" s="41"/>
      <c r="AJ98" s="157">
        <f t="shared" ref="AJ98:AV98" si="55">SUM(AJ99:AJ203)</f>
        <v>74918</v>
      </c>
      <c r="AK98" s="157">
        <f t="shared" si="55"/>
        <v>1474736</v>
      </c>
      <c r="AL98" s="157">
        <f t="shared" si="55"/>
        <v>2078504</v>
      </c>
      <c r="AM98" s="157">
        <f t="shared" si="55"/>
        <v>2231626</v>
      </c>
      <c r="AN98" s="157">
        <f t="shared" si="55"/>
        <v>2023107</v>
      </c>
      <c r="AO98" s="157">
        <f t="shared" si="55"/>
        <v>1424893</v>
      </c>
      <c r="AP98" s="157">
        <f t="shared" si="55"/>
        <v>878280</v>
      </c>
      <c r="AQ98" s="157">
        <f t="shared" si="55"/>
        <v>1126800</v>
      </c>
      <c r="AR98" s="157">
        <f t="shared" si="55"/>
        <v>1318685</v>
      </c>
      <c r="AS98" s="157">
        <f t="shared" si="55"/>
        <v>1219584</v>
      </c>
      <c r="AT98" s="157">
        <f t="shared" si="55"/>
        <v>1350727</v>
      </c>
      <c r="AU98" s="163">
        <f t="shared" si="55"/>
        <v>13754305</v>
      </c>
      <c r="AV98" s="164">
        <f t="shared" si="55"/>
        <v>28956165</v>
      </c>
      <c r="AW98" s="232">
        <f t="shared" ref="AW98:AW161" si="56">+AF97-AV98</f>
        <v>4999505</v>
      </c>
      <c r="AX98" s="152"/>
    </row>
    <row r="99" spans="1:50" ht="25.5" x14ac:dyDescent="0.2">
      <c r="A99" s="178"/>
      <c r="B99" s="178"/>
      <c r="C99" s="257">
        <v>125</v>
      </c>
      <c r="D99" s="283" t="s">
        <v>187</v>
      </c>
      <c r="E99" s="259">
        <v>5053565</v>
      </c>
      <c r="F99" s="259"/>
      <c r="G99" s="259"/>
      <c r="H99" s="260">
        <v>3155466</v>
      </c>
      <c r="I99" s="259"/>
      <c r="J99" s="259"/>
      <c r="K99" s="259"/>
      <c r="L99" s="259"/>
      <c r="M99" s="259"/>
      <c r="N99" s="259"/>
      <c r="O99" s="259"/>
      <c r="P99" s="259"/>
      <c r="Q99" s="259"/>
      <c r="R99" s="259"/>
      <c r="S99" s="259"/>
      <c r="T99" s="259"/>
      <c r="U99" s="259">
        <v>-773488</v>
      </c>
      <c r="V99" s="259"/>
      <c r="W99" s="259">
        <v>-435543</v>
      </c>
      <c r="X99" s="259"/>
      <c r="Y99" s="259"/>
      <c r="Z99" s="259"/>
      <c r="AA99" s="259"/>
      <c r="AB99" s="259"/>
      <c r="AC99" s="259"/>
      <c r="AD99" s="248"/>
      <c r="AE99" s="239">
        <f t="shared" si="53"/>
        <v>7000000</v>
      </c>
      <c r="AF99" s="240">
        <f t="shared" si="54"/>
        <v>7000000</v>
      </c>
      <c r="AG99" s="96"/>
      <c r="AH99" s="5">
        <f t="shared" si="40"/>
        <v>0</v>
      </c>
      <c r="AI99" s="41"/>
      <c r="AJ99" s="302"/>
      <c r="AK99" s="302">
        <v>413994</v>
      </c>
      <c r="AL99" s="302">
        <v>599000</v>
      </c>
      <c r="AM99" s="302">
        <f>600000+151000</f>
        <v>751000</v>
      </c>
      <c r="AN99" s="302">
        <v>600000</v>
      </c>
      <c r="AO99" s="302">
        <v>600000</v>
      </c>
      <c r="AP99" s="302">
        <v>350000</v>
      </c>
      <c r="AQ99" s="302">
        <v>450000</v>
      </c>
      <c r="AR99" s="302">
        <v>700000</v>
      </c>
      <c r="AS99" s="302">
        <v>700000</v>
      </c>
      <c r="AT99" s="302">
        <v>985727</v>
      </c>
      <c r="AU99" s="303">
        <v>2899034</v>
      </c>
      <c r="AV99" s="254">
        <f t="shared" ref="AV99:AV162" si="57">SUM(AJ99:AU99)</f>
        <v>9048755</v>
      </c>
      <c r="AW99" s="232">
        <f t="shared" si="56"/>
        <v>-1770227</v>
      </c>
    </row>
    <row r="100" spans="1:50" x14ac:dyDescent="0.2">
      <c r="A100" s="178"/>
      <c r="B100" s="178"/>
      <c r="C100" s="304">
        <v>150</v>
      </c>
      <c r="D100" s="300" t="s">
        <v>188</v>
      </c>
      <c r="E100" s="259"/>
      <c r="F100" s="259"/>
      <c r="G100" s="259"/>
      <c r="H100" s="260">
        <v>1734749</v>
      </c>
      <c r="I100" s="259"/>
      <c r="J100" s="259"/>
      <c r="K100" s="259"/>
      <c r="L100" s="259"/>
      <c r="M100" s="259"/>
      <c r="N100" s="259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48"/>
      <c r="AE100" s="239">
        <f t="shared" si="53"/>
        <v>1734749</v>
      </c>
      <c r="AF100" s="240">
        <f t="shared" si="54"/>
        <v>1734749</v>
      </c>
      <c r="AG100" s="96"/>
      <c r="AH100" s="5">
        <f t="shared" si="40"/>
        <v>0</v>
      </c>
      <c r="AI100" s="41"/>
      <c r="AJ100" s="302"/>
      <c r="AK100" s="302">
        <v>785465</v>
      </c>
      <c r="AL100" s="302">
        <v>1136288</v>
      </c>
      <c r="AM100" s="302">
        <v>550000</v>
      </c>
      <c r="AN100" s="302">
        <v>800000</v>
      </c>
      <c r="AO100" s="302">
        <v>500000</v>
      </c>
      <c r="AP100" s="302">
        <v>200000</v>
      </c>
      <c r="AQ100" s="302">
        <v>200000</v>
      </c>
      <c r="AR100" s="302">
        <v>403565</v>
      </c>
      <c r="AS100" s="302">
        <v>300000</v>
      </c>
      <c r="AT100" s="302">
        <v>200000</v>
      </c>
      <c r="AU100" s="303">
        <f>3770001-636288</f>
        <v>3133713</v>
      </c>
      <c r="AV100" s="254">
        <f t="shared" si="57"/>
        <v>8209031</v>
      </c>
      <c r="AW100" s="232">
        <f t="shared" si="56"/>
        <v>-1209031</v>
      </c>
    </row>
    <row r="101" spans="1:50" ht="25.5" x14ac:dyDescent="0.2">
      <c r="A101" s="178"/>
      <c r="B101" s="178"/>
      <c r="C101" s="298">
        <v>207</v>
      </c>
      <c r="D101" s="281" t="s">
        <v>189</v>
      </c>
      <c r="E101" s="259"/>
      <c r="F101" s="259"/>
      <c r="G101" s="259"/>
      <c r="H101" s="260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259"/>
      <c r="AD101" s="248"/>
      <c r="AE101" s="239">
        <f t="shared" si="53"/>
        <v>0</v>
      </c>
      <c r="AF101" s="240">
        <f t="shared" si="54"/>
        <v>0</v>
      </c>
      <c r="AG101" s="96"/>
      <c r="AH101" s="5">
        <f t="shared" si="40"/>
        <v>0</v>
      </c>
      <c r="AI101" s="41"/>
      <c r="AJ101" s="302"/>
      <c r="AK101" s="302"/>
      <c r="AL101" s="302"/>
      <c r="AM101" s="302"/>
      <c r="AN101" s="302"/>
      <c r="AO101" s="302"/>
      <c r="AP101" s="302"/>
      <c r="AQ101" s="302"/>
      <c r="AR101" s="302"/>
      <c r="AS101" s="302"/>
      <c r="AT101" s="302"/>
      <c r="AU101" s="303">
        <v>1734749</v>
      </c>
      <c r="AV101" s="254">
        <f t="shared" si="57"/>
        <v>1734749</v>
      </c>
      <c r="AW101" s="232">
        <f t="shared" si="56"/>
        <v>0</v>
      </c>
    </row>
    <row r="102" spans="1:50" s="21" customFormat="1" ht="54" customHeight="1" x14ac:dyDescent="0.2">
      <c r="A102" s="178"/>
      <c r="B102" s="180"/>
      <c r="C102" s="257">
        <v>271</v>
      </c>
      <c r="D102" s="283" t="s">
        <v>190</v>
      </c>
      <c r="E102" s="259">
        <v>3094</v>
      </c>
      <c r="F102" s="259"/>
      <c r="G102" s="259"/>
      <c r="H102" s="260">
        <v>399282</v>
      </c>
      <c r="I102" s="259"/>
      <c r="J102" s="259"/>
      <c r="K102" s="259"/>
      <c r="L102" s="259"/>
      <c r="M102" s="259"/>
      <c r="N102" s="259"/>
      <c r="O102" s="259"/>
      <c r="P102" s="259"/>
      <c r="Q102" s="259"/>
      <c r="R102" s="259"/>
      <c r="S102" s="259"/>
      <c r="T102" s="259"/>
      <c r="U102" s="259"/>
      <c r="V102" s="259"/>
      <c r="W102" s="259"/>
      <c r="X102" s="259"/>
      <c r="Y102" s="259"/>
      <c r="Z102" s="259"/>
      <c r="AA102" s="259"/>
      <c r="AB102" s="259"/>
      <c r="AC102" s="259"/>
      <c r="AD102" s="248"/>
      <c r="AE102" s="239">
        <f t="shared" si="53"/>
        <v>402376</v>
      </c>
      <c r="AF102" s="240">
        <f t="shared" si="54"/>
        <v>402376</v>
      </c>
      <c r="AG102" s="96"/>
      <c r="AH102" s="5">
        <f t="shared" si="40"/>
        <v>0</v>
      </c>
      <c r="AI102" s="41"/>
      <c r="AJ102" s="302"/>
      <c r="AK102" s="302"/>
      <c r="AL102" s="302"/>
      <c r="AM102" s="302"/>
      <c r="AN102" s="302"/>
      <c r="AO102" s="302"/>
      <c r="AP102" s="302"/>
      <c r="AQ102" s="302"/>
      <c r="AR102" s="302"/>
      <c r="AS102" s="302"/>
      <c r="AT102" s="302"/>
      <c r="AU102" s="303"/>
      <c r="AV102" s="254">
        <f t="shared" si="57"/>
        <v>0</v>
      </c>
      <c r="AW102" s="232">
        <f t="shared" si="56"/>
        <v>0</v>
      </c>
    </row>
    <row r="103" spans="1:50" s="21" customFormat="1" ht="38.25" x14ac:dyDescent="0.2">
      <c r="A103" s="178"/>
      <c r="B103" s="180"/>
      <c r="C103" s="257">
        <v>274</v>
      </c>
      <c r="D103" s="283" t="s">
        <v>191</v>
      </c>
      <c r="E103" s="259"/>
      <c r="F103" s="259"/>
      <c r="G103" s="259"/>
      <c r="H103" s="260"/>
      <c r="I103" s="259"/>
      <c r="J103" s="259"/>
      <c r="K103" s="259"/>
      <c r="L103" s="259"/>
      <c r="M103" s="259"/>
      <c r="N103" s="259"/>
      <c r="O103" s="259"/>
      <c r="P103" s="259"/>
      <c r="Q103" s="259"/>
      <c r="R103" s="259"/>
      <c r="S103" s="259"/>
      <c r="T103" s="259"/>
      <c r="U103" s="259"/>
      <c r="V103" s="259"/>
      <c r="W103" s="259"/>
      <c r="X103" s="259"/>
      <c r="Y103" s="259"/>
      <c r="Z103" s="259"/>
      <c r="AA103" s="259"/>
      <c r="AB103" s="259"/>
      <c r="AC103" s="259"/>
      <c r="AD103" s="248"/>
      <c r="AE103" s="239">
        <f t="shared" si="53"/>
        <v>0</v>
      </c>
      <c r="AF103" s="240">
        <f t="shared" si="54"/>
        <v>0</v>
      </c>
      <c r="AG103" s="96"/>
      <c r="AH103" s="5">
        <f t="shared" si="40"/>
        <v>0</v>
      </c>
      <c r="AI103" s="41"/>
      <c r="AJ103" s="302"/>
      <c r="AK103" s="302"/>
      <c r="AL103" s="302">
        <v>3885</v>
      </c>
      <c r="AM103" s="302"/>
      <c r="AN103" s="302"/>
      <c r="AO103" s="302"/>
      <c r="AP103" s="302"/>
      <c r="AQ103" s="302"/>
      <c r="AR103" s="302"/>
      <c r="AS103" s="302"/>
      <c r="AT103" s="302"/>
      <c r="AU103" s="303">
        <f>399282-791</f>
        <v>398491</v>
      </c>
      <c r="AV103" s="254">
        <f t="shared" si="57"/>
        <v>402376</v>
      </c>
      <c r="AW103" s="232">
        <f t="shared" si="56"/>
        <v>0</v>
      </c>
    </row>
    <row r="104" spans="1:50" s="21" customFormat="1" ht="38.25" x14ac:dyDescent="0.2">
      <c r="A104" s="178"/>
      <c r="B104" s="180"/>
      <c r="C104" s="257">
        <v>275</v>
      </c>
      <c r="D104" s="283" t="s">
        <v>192</v>
      </c>
      <c r="E104" s="259">
        <v>165257</v>
      </c>
      <c r="F104" s="259"/>
      <c r="G104" s="259"/>
      <c r="H104" s="260">
        <v>-19427</v>
      </c>
      <c r="I104" s="259"/>
      <c r="J104" s="259"/>
      <c r="K104" s="259"/>
      <c r="L104" s="259"/>
      <c r="M104" s="259"/>
      <c r="N104" s="259"/>
      <c r="O104" s="259"/>
      <c r="P104" s="259"/>
      <c r="Q104" s="259"/>
      <c r="R104" s="259"/>
      <c r="S104" s="259"/>
      <c r="T104" s="259"/>
      <c r="U104" s="259"/>
      <c r="V104" s="259"/>
      <c r="W104" s="259"/>
      <c r="X104" s="259"/>
      <c r="Y104" s="259"/>
      <c r="Z104" s="259"/>
      <c r="AA104" s="259"/>
      <c r="AB104" s="259"/>
      <c r="AC104" s="259"/>
      <c r="AD104" s="248"/>
      <c r="AE104" s="239">
        <f t="shared" si="53"/>
        <v>145830</v>
      </c>
      <c r="AF104" s="240">
        <f t="shared" si="54"/>
        <v>145830</v>
      </c>
      <c r="AG104" s="96"/>
      <c r="AH104" s="5">
        <f t="shared" si="40"/>
        <v>0</v>
      </c>
      <c r="AI104" s="41"/>
      <c r="AJ104" s="302"/>
      <c r="AK104" s="302"/>
      <c r="AL104" s="302"/>
      <c r="AM104" s="302"/>
      <c r="AN104" s="302"/>
      <c r="AO104" s="302"/>
      <c r="AP104" s="302"/>
      <c r="AQ104" s="302"/>
      <c r="AR104" s="302"/>
      <c r="AS104" s="302"/>
      <c r="AT104" s="302"/>
      <c r="AU104" s="303"/>
      <c r="AV104" s="254">
        <f t="shared" si="57"/>
        <v>0</v>
      </c>
      <c r="AW104" s="232">
        <f t="shared" si="56"/>
        <v>0</v>
      </c>
    </row>
    <row r="105" spans="1:50" s="21" customFormat="1" ht="25.5" x14ac:dyDescent="0.2">
      <c r="A105" s="178"/>
      <c r="B105" s="180"/>
      <c r="C105" s="298">
        <v>276</v>
      </c>
      <c r="D105" s="281" t="s">
        <v>193</v>
      </c>
      <c r="E105" s="259"/>
      <c r="F105" s="259"/>
      <c r="G105" s="259"/>
      <c r="H105" s="260"/>
      <c r="I105" s="259"/>
      <c r="J105" s="259"/>
      <c r="K105" s="259"/>
      <c r="L105" s="259"/>
      <c r="M105" s="259"/>
      <c r="N105" s="259"/>
      <c r="O105" s="259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259"/>
      <c r="AA105" s="259"/>
      <c r="AB105" s="259"/>
      <c r="AC105" s="259"/>
      <c r="AD105" s="248"/>
      <c r="AE105" s="239">
        <f t="shared" si="53"/>
        <v>0</v>
      </c>
      <c r="AF105" s="240">
        <f t="shared" si="54"/>
        <v>0</v>
      </c>
      <c r="AG105" s="96"/>
      <c r="AH105" s="5">
        <f t="shared" si="40"/>
        <v>0</v>
      </c>
      <c r="AI105" s="41"/>
      <c r="AJ105" s="302"/>
      <c r="AK105" s="302"/>
      <c r="AL105" s="302"/>
      <c r="AM105" s="302">
        <v>50000</v>
      </c>
      <c r="AN105" s="302">
        <v>50000</v>
      </c>
      <c r="AO105" s="302"/>
      <c r="AP105" s="302">
        <v>45830</v>
      </c>
      <c r="AQ105" s="302"/>
      <c r="AR105" s="302"/>
      <c r="AS105" s="302"/>
      <c r="AT105" s="302"/>
      <c r="AU105" s="303"/>
      <c r="AV105" s="254">
        <f t="shared" si="57"/>
        <v>145830</v>
      </c>
      <c r="AW105" s="232">
        <f t="shared" si="56"/>
        <v>0</v>
      </c>
    </row>
    <row r="106" spans="1:50" s="21" customFormat="1" ht="38.25" x14ac:dyDescent="0.2">
      <c r="A106" s="178"/>
      <c r="B106" s="180"/>
      <c r="C106" s="257">
        <v>286</v>
      </c>
      <c r="D106" s="283" t="s">
        <v>194</v>
      </c>
      <c r="E106" s="259">
        <v>246317</v>
      </c>
      <c r="F106" s="259"/>
      <c r="G106" s="259"/>
      <c r="H106" s="260">
        <v>-246317</v>
      </c>
      <c r="I106" s="259"/>
      <c r="J106" s="259"/>
      <c r="K106" s="259"/>
      <c r="L106" s="259"/>
      <c r="M106" s="259"/>
      <c r="N106" s="259"/>
      <c r="O106" s="259"/>
      <c r="P106" s="259"/>
      <c r="Q106" s="259"/>
      <c r="R106" s="259"/>
      <c r="S106" s="259"/>
      <c r="T106" s="259"/>
      <c r="U106" s="259"/>
      <c r="V106" s="259"/>
      <c r="W106" s="259"/>
      <c r="X106" s="259"/>
      <c r="Y106" s="259"/>
      <c r="Z106" s="259"/>
      <c r="AA106" s="259"/>
      <c r="AB106" s="259"/>
      <c r="AC106" s="259"/>
      <c r="AD106" s="248"/>
      <c r="AE106" s="239">
        <f t="shared" si="53"/>
        <v>0</v>
      </c>
      <c r="AF106" s="240">
        <f t="shared" si="54"/>
        <v>0</v>
      </c>
      <c r="AG106" s="96"/>
      <c r="AH106" s="5">
        <f t="shared" si="40"/>
        <v>0</v>
      </c>
      <c r="AI106" s="41"/>
      <c r="AJ106" s="302"/>
      <c r="AK106" s="302"/>
      <c r="AL106" s="302"/>
      <c r="AM106" s="302"/>
      <c r="AN106" s="302"/>
      <c r="AO106" s="302"/>
      <c r="AP106" s="302"/>
      <c r="AQ106" s="302"/>
      <c r="AR106" s="302"/>
      <c r="AS106" s="302"/>
      <c r="AT106" s="302"/>
      <c r="AU106" s="303"/>
      <c r="AV106" s="254">
        <f t="shared" si="57"/>
        <v>0</v>
      </c>
      <c r="AW106" s="232">
        <f t="shared" si="56"/>
        <v>0</v>
      </c>
    </row>
    <row r="107" spans="1:50" s="21" customFormat="1" ht="38.25" x14ac:dyDescent="0.2">
      <c r="A107" s="178"/>
      <c r="B107" s="180"/>
      <c r="C107" s="257">
        <v>287</v>
      </c>
      <c r="D107" s="283" t="s">
        <v>195</v>
      </c>
      <c r="E107" s="259"/>
      <c r="F107" s="259"/>
      <c r="G107" s="259"/>
      <c r="H107" s="260"/>
      <c r="I107" s="259"/>
      <c r="J107" s="259"/>
      <c r="K107" s="259"/>
      <c r="L107" s="259"/>
      <c r="M107" s="259"/>
      <c r="N107" s="259"/>
      <c r="O107" s="259"/>
      <c r="P107" s="259"/>
      <c r="Q107" s="259"/>
      <c r="R107" s="259"/>
      <c r="S107" s="259"/>
      <c r="T107" s="259"/>
      <c r="U107" s="259"/>
      <c r="V107" s="259"/>
      <c r="W107" s="259"/>
      <c r="X107" s="259"/>
      <c r="Y107" s="259"/>
      <c r="Z107" s="259"/>
      <c r="AA107" s="259"/>
      <c r="AB107" s="259"/>
      <c r="AC107" s="259"/>
      <c r="AD107" s="248"/>
      <c r="AE107" s="239">
        <f t="shared" si="53"/>
        <v>0</v>
      </c>
      <c r="AF107" s="240">
        <f t="shared" si="54"/>
        <v>0</v>
      </c>
      <c r="AG107" s="96"/>
      <c r="AH107" s="5">
        <f t="shared" si="40"/>
        <v>0</v>
      </c>
      <c r="AI107" s="41"/>
      <c r="AJ107" s="302"/>
      <c r="AK107" s="302"/>
      <c r="AL107" s="302"/>
      <c r="AM107" s="302"/>
      <c r="AN107" s="302"/>
      <c r="AO107" s="302"/>
      <c r="AP107" s="302"/>
      <c r="AQ107" s="302"/>
      <c r="AR107" s="302"/>
      <c r="AS107" s="302"/>
      <c r="AT107" s="302"/>
      <c r="AU107" s="303"/>
      <c r="AV107" s="254">
        <f t="shared" si="57"/>
        <v>0</v>
      </c>
      <c r="AW107" s="232">
        <f t="shared" si="56"/>
        <v>0</v>
      </c>
    </row>
    <row r="108" spans="1:50" s="21" customFormat="1" ht="25.5" x14ac:dyDescent="0.2">
      <c r="A108" s="178"/>
      <c r="B108" s="180"/>
      <c r="C108" s="257">
        <v>288</v>
      </c>
      <c r="D108" s="283" t="s">
        <v>196</v>
      </c>
      <c r="E108" s="259"/>
      <c r="F108" s="259"/>
      <c r="G108" s="259"/>
      <c r="H108" s="260">
        <v>4104</v>
      </c>
      <c r="I108" s="259"/>
      <c r="J108" s="259"/>
      <c r="K108" s="259"/>
      <c r="L108" s="259"/>
      <c r="M108" s="259"/>
      <c r="N108" s="259"/>
      <c r="O108" s="259"/>
      <c r="P108" s="259"/>
      <c r="Q108" s="259"/>
      <c r="R108" s="259"/>
      <c r="S108" s="259"/>
      <c r="T108" s="259"/>
      <c r="U108" s="259"/>
      <c r="V108" s="259"/>
      <c r="W108" s="259"/>
      <c r="X108" s="259"/>
      <c r="Y108" s="259"/>
      <c r="Z108" s="259"/>
      <c r="AA108" s="259"/>
      <c r="AB108" s="259"/>
      <c r="AC108" s="259"/>
      <c r="AD108" s="248"/>
      <c r="AE108" s="239">
        <f t="shared" si="53"/>
        <v>4104</v>
      </c>
      <c r="AF108" s="240">
        <f t="shared" si="54"/>
        <v>4104</v>
      </c>
      <c r="AG108" s="96"/>
      <c r="AH108" s="5">
        <f t="shared" si="40"/>
        <v>0</v>
      </c>
      <c r="AI108" s="41"/>
      <c r="AJ108" s="302"/>
      <c r="AK108" s="302"/>
      <c r="AL108" s="302"/>
      <c r="AM108" s="302"/>
      <c r="AN108" s="302"/>
      <c r="AO108" s="302"/>
      <c r="AP108" s="302"/>
      <c r="AQ108" s="302"/>
      <c r="AR108" s="302"/>
      <c r="AS108" s="302"/>
      <c r="AT108" s="302"/>
      <c r="AU108" s="303"/>
      <c r="AV108" s="254">
        <f t="shared" si="57"/>
        <v>0</v>
      </c>
      <c r="AW108" s="232">
        <f t="shared" si="56"/>
        <v>0</v>
      </c>
    </row>
    <row r="109" spans="1:50" s="21" customFormat="1" ht="38.25" x14ac:dyDescent="0.2">
      <c r="A109" s="178"/>
      <c r="B109" s="180"/>
      <c r="C109" s="257">
        <v>289</v>
      </c>
      <c r="D109" s="283" t="s">
        <v>197</v>
      </c>
      <c r="E109" s="259">
        <v>8839</v>
      </c>
      <c r="F109" s="259"/>
      <c r="G109" s="259"/>
      <c r="H109" s="260">
        <v>7881</v>
      </c>
      <c r="I109" s="259"/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  <c r="Y109" s="259"/>
      <c r="Z109" s="259"/>
      <c r="AA109" s="259"/>
      <c r="AB109" s="259"/>
      <c r="AC109" s="259"/>
      <c r="AD109" s="248"/>
      <c r="AE109" s="239">
        <f t="shared" si="53"/>
        <v>16720</v>
      </c>
      <c r="AF109" s="240">
        <f t="shared" si="54"/>
        <v>16720</v>
      </c>
      <c r="AG109" s="96"/>
      <c r="AH109" s="5">
        <f t="shared" si="40"/>
        <v>0</v>
      </c>
      <c r="AI109" s="41"/>
      <c r="AJ109" s="302"/>
      <c r="AK109" s="302"/>
      <c r="AL109" s="302"/>
      <c r="AM109" s="302"/>
      <c r="AN109" s="302"/>
      <c r="AO109" s="302"/>
      <c r="AP109" s="302"/>
      <c r="AQ109" s="302"/>
      <c r="AR109" s="302"/>
      <c r="AS109" s="302"/>
      <c r="AT109" s="302"/>
      <c r="AU109" s="303">
        <v>4104</v>
      </c>
      <c r="AV109" s="254">
        <f t="shared" si="57"/>
        <v>4104</v>
      </c>
      <c r="AW109" s="232">
        <f t="shared" si="56"/>
        <v>0</v>
      </c>
    </row>
    <row r="110" spans="1:50" s="21" customFormat="1" ht="38.25" x14ac:dyDescent="0.2">
      <c r="A110" s="178"/>
      <c r="B110" s="180"/>
      <c r="C110" s="257">
        <v>291</v>
      </c>
      <c r="D110" s="283" t="s">
        <v>198</v>
      </c>
      <c r="E110" s="259"/>
      <c r="F110" s="259"/>
      <c r="G110" s="259"/>
      <c r="H110" s="260"/>
      <c r="I110" s="259"/>
      <c r="J110" s="259"/>
      <c r="K110" s="259"/>
      <c r="L110" s="259"/>
      <c r="M110" s="259"/>
      <c r="N110" s="259"/>
      <c r="O110" s="259"/>
      <c r="P110" s="259"/>
      <c r="Q110" s="259"/>
      <c r="R110" s="259"/>
      <c r="S110" s="259"/>
      <c r="T110" s="259"/>
      <c r="U110" s="259"/>
      <c r="V110" s="259"/>
      <c r="W110" s="259"/>
      <c r="X110" s="259"/>
      <c r="Y110" s="259"/>
      <c r="Z110" s="259"/>
      <c r="AA110" s="259"/>
      <c r="AB110" s="259"/>
      <c r="AC110" s="259"/>
      <c r="AD110" s="248"/>
      <c r="AE110" s="239">
        <f t="shared" si="53"/>
        <v>0</v>
      </c>
      <c r="AF110" s="240">
        <f t="shared" si="54"/>
        <v>0</v>
      </c>
      <c r="AG110" s="96"/>
      <c r="AH110" s="5">
        <f t="shared" si="40"/>
        <v>0</v>
      </c>
      <c r="AI110" s="41"/>
      <c r="AJ110" s="302">
        <v>999</v>
      </c>
      <c r="AK110" s="302">
        <v>1350</v>
      </c>
      <c r="AL110" s="302">
        <v>1350</v>
      </c>
      <c r="AM110" s="302">
        <v>7489</v>
      </c>
      <c r="AN110" s="302"/>
      <c r="AO110" s="302"/>
      <c r="AP110" s="302"/>
      <c r="AQ110" s="302"/>
      <c r="AR110" s="302"/>
      <c r="AS110" s="302"/>
      <c r="AT110" s="302"/>
      <c r="AU110" s="303">
        <v>5532</v>
      </c>
      <c r="AV110" s="254">
        <f t="shared" si="57"/>
        <v>16720</v>
      </c>
      <c r="AW110" s="232">
        <f t="shared" si="56"/>
        <v>0</v>
      </c>
    </row>
    <row r="111" spans="1:50" s="21" customFormat="1" ht="38.25" x14ac:dyDescent="0.2">
      <c r="A111" s="178"/>
      <c r="B111" s="180"/>
      <c r="C111" s="257">
        <v>292</v>
      </c>
      <c r="D111" s="283" t="s">
        <v>199</v>
      </c>
      <c r="E111" s="259">
        <v>123</v>
      </c>
      <c r="F111" s="259"/>
      <c r="G111" s="259"/>
      <c r="H111" s="260">
        <v>17143</v>
      </c>
      <c r="I111" s="259"/>
      <c r="J111" s="259"/>
      <c r="K111" s="259"/>
      <c r="L111" s="259"/>
      <c r="M111" s="259"/>
      <c r="N111" s="259"/>
      <c r="O111" s="259"/>
      <c r="P111" s="259"/>
      <c r="Q111" s="259"/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  <c r="AC111" s="259"/>
      <c r="AD111" s="248"/>
      <c r="AE111" s="239">
        <f t="shared" si="53"/>
        <v>17266</v>
      </c>
      <c r="AF111" s="240">
        <f t="shared" si="54"/>
        <v>17266</v>
      </c>
      <c r="AG111" s="96"/>
      <c r="AH111" s="5">
        <f t="shared" si="40"/>
        <v>0</v>
      </c>
      <c r="AI111" s="41"/>
      <c r="AJ111" s="302"/>
      <c r="AK111" s="302"/>
      <c r="AL111" s="302"/>
      <c r="AM111" s="302"/>
      <c r="AN111" s="302"/>
      <c r="AO111" s="302"/>
      <c r="AP111" s="302"/>
      <c r="AQ111" s="302"/>
      <c r="AR111" s="302"/>
      <c r="AS111" s="302"/>
      <c r="AT111" s="302"/>
      <c r="AU111" s="303"/>
      <c r="AV111" s="254">
        <f t="shared" si="57"/>
        <v>0</v>
      </c>
      <c r="AW111" s="232">
        <f t="shared" si="56"/>
        <v>0</v>
      </c>
    </row>
    <row r="112" spans="1:50" s="21" customFormat="1" ht="25.5" x14ac:dyDescent="0.2">
      <c r="A112" s="178"/>
      <c r="B112" s="180"/>
      <c r="C112" s="257">
        <v>301</v>
      </c>
      <c r="D112" s="283" t="s">
        <v>200</v>
      </c>
      <c r="E112" s="259">
        <v>306</v>
      </c>
      <c r="F112" s="259"/>
      <c r="G112" s="259"/>
      <c r="H112" s="260">
        <v>131423</v>
      </c>
      <c r="I112" s="259"/>
      <c r="J112" s="259"/>
      <c r="K112" s="259"/>
      <c r="L112" s="259"/>
      <c r="M112" s="259"/>
      <c r="N112" s="259"/>
      <c r="O112" s="259"/>
      <c r="P112" s="259"/>
      <c r="Q112" s="259"/>
      <c r="R112" s="259"/>
      <c r="S112" s="259"/>
      <c r="T112" s="259"/>
      <c r="U112" s="259"/>
      <c r="V112" s="259"/>
      <c r="W112" s="259"/>
      <c r="X112" s="259"/>
      <c r="Y112" s="259"/>
      <c r="Z112" s="259"/>
      <c r="AA112" s="259"/>
      <c r="AB112" s="259"/>
      <c r="AC112" s="259"/>
      <c r="AD112" s="248"/>
      <c r="AE112" s="239">
        <f t="shared" si="53"/>
        <v>131729</v>
      </c>
      <c r="AF112" s="240">
        <f t="shared" si="54"/>
        <v>131729</v>
      </c>
      <c r="AG112" s="96"/>
      <c r="AH112" s="5">
        <f t="shared" si="40"/>
        <v>0</v>
      </c>
      <c r="AI112" s="41"/>
      <c r="AJ112" s="302"/>
      <c r="AK112" s="302"/>
      <c r="AL112" s="302">
        <v>0</v>
      </c>
      <c r="AM112" s="302">
        <v>123</v>
      </c>
      <c r="AN112" s="302"/>
      <c r="AO112" s="302"/>
      <c r="AP112" s="302"/>
      <c r="AQ112" s="302"/>
      <c r="AR112" s="302"/>
      <c r="AS112" s="302"/>
      <c r="AT112" s="302"/>
      <c r="AU112" s="303">
        <v>17143</v>
      </c>
      <c r="AV112" s="254">
        <f t="shared" si="57"/>
        <v>17266</v>
      </c>
      <c r="AW112" s="232">
        <f t="shared" si="56"/>
        <v>0</v>
      </c>
    </row>
    <row r="113" spans="1:50" s="21" customFormat="1" x14ac:dyDescent="0.2">
      <c r="A113" s="178"/>
      <c r="B113" s="180"/>
      <c r="C113" s="298">
        <v>302</v>
      </c>
      <c r="D113" s="305" t="s">
        <v>201</v>
      </c>
      <c r="E113" s="259">
        <v>3171</v>
      </c>
      <c r="F113" s="259"/>
      <c r="G113" s="259"/>
      <c r="H113" s="260">
        <v>37956</v>
      </c>
      <c r="I113" s="259"/>
      <c r="J113" s="259"/>
      <c r="K113" s="259"/>
      <c r="L113" s="259"/>
      <c r="M113" s="259"/>
      <c r="N113" s="259"/>
      <c r="O113" s="259"/>
      <c r="P113" s="259"/>
      <c r="Q113" s="259"/>
      <c r="R113" s="259"/>
      <c r="S113" s="259"/>
      <c r="T113" s="259"/>
      <c r="U113" s="259"/>
      <c r="V113" s="259"/>
      <c r="W113" s="259"/>
      <c r="X113" s="259"/>
      <c r="Y113" s="259"/>
      <c r="Z113" s="259"/>
      <c r="AA113" s="259"/>
      <c r="AB113" s="259"/>
      <c r="AC113" s="259"/>
      <c r="AD113" s="248"/>
      <c r="AE113" s="239">
        <f t="shared" si="53"/>
        <v>41127</v>
      </c>
      <c r="AF113" s="240">
        <f t="shared" si="54"/>
        <v>41127</v>
      </c>
      <c r="AG113" s="96"/>
      <c r="AH113" s="5">
        <f t="shared" si="40"/>
        <v>0</v>
      </c>
      <c r="AI113" s="41"/>
      <c r="AJ113" s="302"/>
      <c r="AK113" s="302"/>
      <c r="AL113" s="302">
        <v>1500</v>
      </c>
      <c r="AM113" s="302"/>
      <c r="AN113" s="302"/>
      <c r="AO113" s="302"/>
      <c r="AP113" s="302"/>
      <c r="AQ113" s="302"/>
      <c r="AR113" s="302"/>
      <c r="AS113" s="302"/>
      <c r="AT113" s="302"/>
      <c r="AU113" s="303">
        <f>131423-1194</f>
        <v>130229</v>
      </c>
      <c r="AV113" s="254">
        <f t="shared" si="57"/>
        <v>131729</v>
      </c>
      <c r="AW113" s="232">
        <f t="shared" si="56"/>
        <v>0</v>
      </c>
    </row>
    <row r="114" spans="1:50" s="21" customFormat="1" ht="25.5" x14ac:dyDescent="0.2">
      <c r="A114" s="178"/>
      <c r="B114" s="180"/>
      <c r="C114" s="257">
        <v>303</v>
      </c>
      <c r="D114" s="283" t="s">
        <v>202</v>
      </c>
      <c r="E114" s="259">
        <v>189226</v>
      </c>
      <c r="F114" s="259"/>
      <c r="G114" s="259"/>
      <c r="H114" s="260">
        <v>-3253</v>
      </c>
      <c r="I114" s="259"/>
      <c r="J114" s="259"/>
      <c r="K114" s="259"/>
      <c r="L114" s="259"/>
      <c r="M114" s="259"/>
      <c r="N114" s="259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48"/>
      <c r="AE114" s="239">
        <f t="shared" si="53"/>
        <v>185973</v>
      </c>
      <c r="AF114" s="240">
        <f t="shared" si="54"/>
        <v>185973</v>
      </c>
      <c r="AG114" s="96"/>
      <c r="AH114" s="5">
        <f t="shared" si="40"/>
        <v>0</v>
      </c>
      <c r="AI114" s="41"/>
      <c r="AJ114" s="302"/>
      <c r="AK114" s="302">
        <v>2800</v>
      </c>
      <c r="AL114" s="302">
        <v>2800</v>
      </c>
      <c r="AM114" s="302">
        <v>371</v>
      </c>
      <c r="AN114" s="302"/>
      <c r="AO114" s="302"/>
      <c r="AP114" s="302"/>
      <c r="AQ114" s="302"/>
      <c r="AR114" s="302"/>
      <c r="AS114" s="302"/>
      <c r="AT114" s="302"/>
      <c r="AU114" s="303">
        <v>35156</v>
      </c>
      <c r="AV114" s="254">
        <f t="shared" si="57"/>
        <v>41127</v>
      </c>
      <c r="AW114" s="232">
        <f t="shared" si="56"/>
        <v>0</v>
      </c>
    </row>
    <row r="115" spans="1:50" s="21" customFormat="1" ht="25.5" x14ac:dyDescent="0.2">
      <c r="A115" s="178"/>
      <c r="B115" s="180"/>
      <c r="C115" s="257">
        <v>305</v>
      </c>
      <c r="D115" s="283" t="s">
        <v>203</v>
      </c>
      <c r="E115" s="259">
        <v>21675</v>
      </c>
      <c r="F115" s="259"/>
      <c r="G115" s="259"/>
      <c r="H115" s="260">
        <v>-20375</v>
      </c>
      <c r="I115" s="259"/>
      <c r="J115" s="259"/>
      <c r="K115" s="259"/>
      <c r="L115" s="259"/>
      <c r="M115" s="259"/>
      <c r="N115" s="259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48"/>
      <c r="AE115" s="239">
        <f t="shared" si="53"/>
        <v>1300</v>
      </c>
      <c r="AF115" s="240">
        <f t="shared" si="54"/>
        <v>1300</v>
      </c>
      <c r="AG115" s="96"/>
      <c r="AH115" s="5">
        <f t="shared" si="40"/>
        <v>0</v>
      </c>
      <c r="AI115" s="41"/>
      <c r="AJ115" s="302">
        <v>182</v>
      </c>
      <c r="AK115" s="302">
        <v>2722</v>
      </c>
      <c r="AL115" s="302">
        <v>2550</v>
      </c>
      <c r="AM115" s="302">
        <v>5000</v>
      </c>
      <c r="AN115" s="302">
        <v>20000</v>
      </c>
      <c r="AO115" s="302">
        <v>5000</v>
      </c>
      <c r="AP115" s="302">
        <f>35000+17450</f>
        <v>52450</v>
      </c>
      <c r="AQ115" s="302">
        <v>5000</v>
      </c>
      <c r="AR115" s="302">
        <v>35000</v>
      </c>
      <c r="AS115" s="302">
        <v>5000</v>
      </c>
      <c r="AT115" s="302">
        <v>45000</v>
      </c>
      <c r="AU115" s="303">
        <v>8069</v>
      </c>
      <c r="AV115" s="254">
        <f t="shared" si="57"/>
        <v>185973</v>
      </c>
      <c r="AW115" s="232">
        <f t="shared" si="56"/>
        <v>0</v>
      </c>
    </row>
    <row r="116" spans="1:50" s="21" customFormat="1" ht="25.5" x14ac:dyDescent="0.2">
      <c r="A116" s="178"/>
      <c r="B116" s="180"/>
      <c r="C116" s="257">
        <v>306</v>
      </c>
      <c r="D116" s="283" t="s">
        <v>204</v>
      </c>
      <c r="E116" s="259">
        <v>1161</v>
      </c>
      <c r="F116" s="259"/>
      <c r="G116" s="259"/>
      <c r="H116" s="260">
        <v>-1161</v>
      </c>
      <c r="I116" s="259"/>
      <c r="J116" s="259"/>
      <c r="K116" s="259"/>
      <c r="L116" s="259"/>
      <c r="M116" s="259"/>
      <c r="N116" s="259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  <c r="AD116" s="248"/>
      <c r="AE116" s="239">
        <f t="shared" si="53"/>
        <v>0</v>
      </c>
      <c r="AF116" s="240">
        <f t="shared" si="54"/>
        <v>0</v>
      </c>
      <c r="AG116" s="96"/>
      <c r="AH116" s="5">
        <f t="shared" si="40"/>
        <v>0</v>
      </c>
      <c r="AI116" s="41"/>
      <c r="AJ116" s="302"/>
      <c r="AK116" s="302"/>
      <c r="AL116" s="302"/>
      <c r="AM116" s="302">
        <v>1300</v>
      </c>
      <c r="AN116" s="302"/>
      <c r="AO116" s="302"/>
      <c r="AP116" s="302"/>
      <c r="AQ116" s="302"/>
      <c r="AR116" s="302"/>
      <c r="AS116" s="302"/>
      <c r="AT116" s="302"/>
      <c r="AU116" s="303">
        <v>0</v>
      </c>
      <c r="AV116" s="254">
        <f t="shared" si="57"/>
        <v>1300</v>
      </c>
      <c r="AW116" s="232">
        <f t="shared" si="56"/>
        <v>0</v>
      </c>
    </row>
    <row r="117" spans="1:50" s="21" customFormat="1" ht="38.25" x14ac:dyDescent="0.2">
      <c r="A117" s="178"/>
      <c r="B117" s="180"/>
      <c r="C117" s="257">
        <v>307</v>
      </c>
      <c r="D117" s="283" t="s">
        <v>205</v>
      </c>
      <c r="E117" s="259">
        <v>5782</v>
      </c>
      <c r="F117" s="259"/>
      <c r="G117" s="259"/>
      <c r="H117" s="260">
        <v>18370</v>
      </c>
      <c r="I117" s="259"/>
      <c r="J117" s="259"/>
      <c r="K117" s="259"/>
      <c r="L117" s="259"/>
      <c r="M117" s="259"/>
      <c r="N117" s="259"/>
      <c r="O117" s="259"/>
      <c r="P117" s="259"/>
      <c r="Q117" s="259"/>
      <c r="R117" s="259"/>
      <c r="S117" s="259"/>
      <c r="T117" s="259"/>
      <c r="U117" s="259"/>
      <c r="V117" s="259"/>
      <c r="W117" s="259"/>
      <c r="X117" s="259"/>
      <c r="Y117" s="259"/>
      <c r="Z117" s="259"/>
      <c r="AA117" s="259"/>
      <c r="AB117" s="259"/>
      <c r="AC117" s="259"/>
      <c r="AD117" s="248"/>
      <c r="AE117" s="239">
        <f t="shared" si="53"/>
        <v>24152</v>
      </c>
      <c r="AF117" s="240">
        <f t="shared" si="54"/>
        <v>24152</v>
      </c>
      <c r="AG117" s="96"/>
      <c r="AH117" s="5">
        <f t="shared" si="40"/>
        <v>0</v>
      </c>
      <c r="AI117" s="41"/>
      <c r="AJ117" s="302"/>
      <c r="AK117" s="302"/>
      <c r="AL117" s="302"/>
      <c r="AM117" s="302"/>
      <c r="AN117" s="302"/>
      <c r="AO117" s="302"/>
      <c r="AP117" s="302"/>
      <c r="AQ117" s="302"/>
      <c r="AR117" s="302"/>
      <c r="AS117" s="302"/>
      <c r="AT117" s="302"/>
      <c r="AU117" s="303">
        <v>0</v>
      </c>
      <c r="AV117" s="254">
        <f t="shared" si="57"/>
        <v>0</v>
      </c>
      <c r="AW117" s="232">
        <f t="shared" si="56"/>
        <v>0</v>
      </c>
    </row>
    <row r="118" spans="1:50" s="307" customFormat="1" ht="25.5" x14ac:dyDescent="0.2">
      <c r="A118" s="178"/>
      <c r="B118" s="180"/>
      <c r="C118" s="257">
        <v>309</v>
      </c>
      <c r="D118" s="283" t="s">
        <v>206</v>
      </c>
      <c r="E118" s="259"/>
      <c r="F118" s="259"/>
      <c r="G118" s="259"/>
      <c r="H118" s="260"/>
      <c r="I118" s="259"/>
      <c r="J118" s="259"/>
      <c r="K118" s="259"/>
      <c r="L118" s="259"/>
      <c r="M118" s="259"/>
      <c r="N118" s="259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  <c r="AD118" s="306"/>
      <c r="AE118" s="239">
        <f t="shared" si="53"/>
        <v>0</v>
      </c>
      <c r="AF118" s="240">
        <f t="shared" si="54"/>
        <v>0</v>
      </c>
      <c r="AG118" s="96"/>
      <c r="AH118" s="5">
        <f t="shared" si="40"/>
        <v>0</v>
      </c>
      <c r="AI118" s="41"/>
      <c r="AJ118" s="302">
        <v>205</v>
      </c>
      <c r="AK118" s="302"/>
      <c r="AL118" s="302">
        <v>3000</v>
      </c>
      <c r="AM118" s="302">
        <v>2782</v>
      </c>
      <c r="AN118" s="302"/>
      <c r="AO118" s="302"/>
      <c r="AP118" s="302"/>
      <c r="AQ118" s="302"/>
      <c r="AR118" s="302"/>
      <c r="AS118" s="302"/>
      <c r="AT118" s="302"/>
      <c r="AU118" s="303">
        <v>18165</v>
      </c>
      <c r="AV118" s="254">
        <f t="shared" si="57"/>
        <v>24152</v>
      </c>
      <c r="AW118" s="232">
        <f t="shared" si="56"/>
        <v>0</v>
      </c>
      <c r="AX118" s="21"/>
    </row>
    <row r="119" spans="1:50" s="21" customFormat="1" ht="38.25" x14ac:dyDescent="0.2">
      <c r="A119" s="178"/>
      <c r="B119" s="180"/>
      <c r="C119" s="257">
        <v>310</v>
      </c>
      <c r="D119" s="283" t="s">
        <v>207</v>
      </c>
      <c r="E119" s="259">
        <v>61074</v>
      </c>
      <c r="F119" s="259"/>
      <c r="G119" s="259"/>
      <c r="H119" s="260">
        <v>-49380</v>
      </c>
      <c r="I119" s="259"/>
      <c r="J119" s="259"/>
      <c r="K119" s="259"/>
      <c r="L119" s="259"/>
      <c r="M119" s="259"/>
      <c r="N119" s="259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  <c r="Y119" s="259"/>
      <c r="Z119" s="259"/>
      <c r="AA119" s="259"/>
      <c r="AB119" s="259"/>
      <c r="AC119" s="259"/>
      <c r="AD119" s="248"/>
      <c r="AE119" s="239">
        <f t="shared" si="53"/>
        <v>11694</v>
      </c>
      <c r="AF119" s="240">
        <f t="shared" si="54"/>
        <v>11694</v>
      </c>
      <c r="AG119" s="96"/>
      <c r="AH119" s="5">
        <f t="shared" si="40"/>
        <v>0</v>
      </c>
      <c r="AI119" s="41"/>
      <c r="AJ119" s="302"/>
      <c r="AK119" s="302"/>
      <c r="AL119" s="302"/>
      <c r="AM119" s="302"/>
      <c r="AN119" s="302"/>
      <c r="AO119" s="302"/>
      <c r="AP119" s="302"/>
      <c r="AQ119" s="302"/>
      <c r="AR119" s="302"/>
      <c r="AS119" s="302"/>
      <c r="AT119" s="302"/>
      <c r="AU119" s="303"/>
      <c r="AV119" s="254">
        <f t="shared" si="57"/>
        <v>0</v>
      </c>
      <c r="AW119" s="232">
        <f t="shared" si="56"/>
        <v>0</v>
      </c>
      <c r="AX119" s="307"/>
    </row>
    <row r="120" spans="1:50" s="21" customFormat="1" ht="38.25" x14ac:dyDescent="0.2">
      <c r="A120" s="178"/>
      <c r="B120" s="180"/>
      <c r="C120" s="257">
        <v>311</v>
      </c>
      <c r="D120" s="283" t="s">
        <v>208</v>
      </c>
      <c r="E120" s="259">
        <v>8732</v>
      </c>
      <c r="F120" s="259"/>
      <c r="G120" s="259"/>
      <c r="H120" s="260">
        <v>2804</v>
      </c>
      <c r="I120" s="259"/>
      <c r="J120" s="259"/>
      <c r="K120" s="259"/>
      <c r="L120" s="259"/>
      <c r="M120" s="259"/>
      <c r="N120" s="259"/>
      <c r="O120" s="259"/>
      <c r="P120" s="259"/>
      <c r="Q120" s="259"/>
      <c r="R120" s="259"/>
      <c r="S120" s="259"/>
      <c r="T120" s="259"/>
      <c r="U120" s="259"/>
      <c r="V120" s="259"/>
      <c r="W120" s="259"/>
      <c r="X120" s="259"/>
      <c r="Y120" s="259"/>
      <c r="Z120" s="259"/>
      <c r="AA120" s="259"/>
      <c r="AB120" s="259"/>
      <c r="AC120" s="259"/>
      <c r="AD120" s="248"/>
      <c r="AE120" s="239">
        <f t="shared" si="53"/>
        <v>11536</v>
      </c>
      <c r="AF120" s="240">
        <f t="shared" si="54"/>
        <v>11536</v>
      </c>
      <c r="AG120" s="96"/>
      <c r="AH120" s="5">
        <f t="shared" ref="AH120:AH183" si="58">+AA120+V120</f>
        <v>0</v>
      </c>
      <c r="AI120" s="41"/>
      <c r="AJ120" s="302">
        <v>133</v>
      </c>
      <c r="AK120" s="302"/>
      <c r="AL120" s="302">
        <v>0</v>
      </c>
      <c r="AM120" s="302">
        <v>11561</v>
      </c>
      <c r="AN120" s="302"/>
      <c r="AO120" s="302"/>
      <c r="AP120" s="302"/>
      <c r="AQ120" s="302"/>
      <c r="AR120" s="302"/>
      <c r="AS120" s="302"/>
      <c r="AT120" s="302"/>
      <c r="AU120" s="308"/>
      <c r="AV120" s="254">
        <f t="shared" si="57"/>
        <v>11694</v>
      </c>
      <c r="AW120" s="232">
        <f t="shared" si="56"/>
        <v>0</v>
      </c>
    </row>
    <row r="121" spans="1:50" s="21" customFormat="1" ht="38.25" x14ac:dyDescent="0.2">
      <c r="A121" s="178"/>
      <c r="B121" s="180"/>
      <c r="C121" s="257">
        <v>315</v>
      </c>
      <c r="D121" s="283" t="s">
        <v>209</v>
      </c>
      <c r="E121" s="259">
        <v>163600</v>
      </c>
      <c r="F121" s="259"/>
      <c r="G121" s="259"/>
      <c r="H121" s="260">
        <v>-13600</v>
      </c>
      <c r="I121" s="259"/>
      <c r="J121" s="259"/>
      <c r="K121" s="259"/>
      <c r="L121" s="259"/>
      <c r="M121" s="259"/>
      <c r="N121" s="259"/>
      <c r="O121" s="259"/>
      <c r="P121" s="259"/>
      <c r="Q121" s="259"/>
      <c r="R121" s="259"/>
      <c r="S121" s="259"/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  <c r="AD121" s="248"/>
      <c r="AE121" s="239">
        <f t="shared" si="53"/>
        <v>150000</v>
      </c>
      <c r="AF121" s="240">
        <f t="shared" si="54"/>
        <v>150000</v>
      </c>
      <c r="AG121" s="96"/>
      <c r="AH121" s="5">
        <f t="shared" si="58"/>
        <v>0</v>
      </c>
      <c r="AI121" s="41"/>
      <c r="AJ121" s="302">
        <v>3876</v>
      </c>
      <c r="AK121" s="302"/>
      <c r="AL121" s="302"/>
      <c r="AM121" s="302">
        <v>7660</v>
      </c>
      <c r="AN121" s="302"/>
      <c r="AO121" s="302"/>
      <c r="AP121" s="302"/>
      <c r="AQ121" s="302"/>
      <c r="AR121" s="302"/>
      <c r="AS121" s="302"/>
      <c r="AT121" s="302"/>
      <c r="AU121" s="308"/>
      <c r="AV121" s="254">
        <f t="shared" si="57"/>
        <v>11536</v>
      </c>
      <c r="AW121" s="232">
        <f t="shared" si="56"/>
        <v>0</v>
      </c>
    </row>
    <row r="122" spans="1:50" s="21" customFormat="1" ht="38.25" x14ac:dyDescent="0.2">
      <c r="A122" s="178"/>
      <c r="B122" s="180"/>
      <c r="C122" s="298">
        <v>319</v>
      </c>
      <c r="D122" s="281" t="s">
        <v>210</v>
      </c>
      <c r="E122" s="259">
        <v>1033920</v>
      </c>
      <c r="F122" s="259"/>
      <c r="G122" s="259"/>
      <c r="H122" s="260"/>
      <c r="I122" s="259"/>
      <c r="J122" s="259"/>
      <c r="K122" s="259"/>
      <c r="L122" s="259"/>
      <c r="M122" s="259"/>
      <c r="N122" s="259"/>
      <c r="O122" s="259"/>
      <c r="P122" s="259"/>
      <c r="Q122" s="259"/>
      <c r="R122" s="259"/>
      <c r="S122" s="259"/>
      <c r="T122" s="259"/>
      <c r="U122" s="259"/>
      <c r="V122" s="259"/>
      <c r="W122" s="259"/>
      <c r="X122" s="259"/>
      <c r="Y122" s="259"/>
      <c r="Z122" s="259"/>
      <c r="AA122" s="259"/>
      <c r="AB122" s="259"/>
      <c r="AC122" s="259"/>
      <c r="AD122" s="248"/>
      <c r="AE122" s="239">
        <f t="shared" si="53"/>
        <v>1033920</v>
      </c>
      <c r="AF122" s="240">
        <f t="shared" si="54"/>
        <v>1033920</v>
      </c>
      <c r="AG122" s="96"/>
      <c r="AH122" s="5">
        <f t="shared" si="58"/>
        <v>0</v>
      </c>
      <c r="AI122" s="41"/>
      <c r="AJ122" s="302"/>
      <c r="AK122" s="302"/>
      <c r="AL122" s="302">
        <v>0</v>
      </c>
      <c r="AM122" s="302">
        <v>25000</v>
      </c>
      <c r="AN122" s="302">
        <v>25000</v>
      </c>
      <c r="AO122" s="302"/>
      <c r="AP122" s="302">
        <v>25000</v>
      </c>
      <c r="AQ122" s="302"/>
      <c r="AR122" s="302">
        <v>35000</v>
      </c>
      <c r="AS122" s="302"/>
      <c r="AT122" s="302"/>
      <c r="AU122" s="308">
        <v>40000</v>
      </c>
      <c r="AV122" s="254">
        <f t="shared" si="57"/>
        <v>150000</v>
      </c>
      <c r="AW122" s="232">
        <f t="shared" si="56"/>
        <v>0</v>
      </c>
    </row>
    <row r="123" spans="1:50" s="21" customFormat="1" ht="38.25" x14ac:dyDescent="0.2">
      <c r="A123" s="178"/>
      <c r="B123" s="180"/>
      <c r="C123" s="298">
        <v>320</v>
      </c>
      <c r="D123" s="281" t="s">
        <v>211</v>
      </c>
      <c r="E123" s="259">
        <v>25697</v>
      </c>
      <c r="F123" s="259"/>
      <c r="G123" s="259"/>
      <c r="H123" s="260">
        <v>422</v>
      </c>
      <c r="I123" s="259"/>
      <c r="J123" s="259"/>
      <c r="K123" s="259"/>
      <c r="L123" s="259"/>
      <c r="M123" s="259"/>
      <c r="N123" s="259"/>
      <c r="O123" s="259"/>
      <c r="P123" s="259"/>
      <c r="Q123" s="259"/>
      <c r="R123" s="259"/>
      <c r="S123" s="259"/>
      <c r="T123" s="259"/>
      <c r="U123" s="259"/>
      <c r="V123" s="259"/>
      <c r="W123" s="259"/>
      <c r="X123" s="259"/>
      <c r="Y123" s="259"/>
      <c r="Z123" s="259"/>
      <c r="AA123" s="259"/>
      <c r="AB123" s="259"/>
      <c r="AC123" s="259"/>
      <c r="AD123" s="248"/>
      <c r="AE123" s="239">
        <f t="shared" si="53"/>
        <v>26119</v>
      </c>
      <c r="AF123" s="240">
        <f t="shared" si="54"/>
        <v>26119</v>
      </c>
      <c r="AG123" s="96"/>
      <c r="AH123" s="5">
        <f t="shared" si="58"/>
        <v>0</v>
      </c>
      <c r="AI123" s="41"/>
      <c r="AJ123" s="302"/>
      <c r="AK123" s="302">
        <v>3699</v>
      </c>
      <c r="AL123" s="302">
        <v>2716</v>
      </c>
      <c r="AM123" s="302">
        <f>80000+77824-540</f>
        <v>157284</v>
      </c>
      <c r="AN123" s="302">
        <v>80000</v>
      </c>
      <c r="AO123" s="302">
        <v>150000</v>
      </c>
      <c r="AP123" s="302">
        <v>80000</v>
      </c>
      <c r="AQ123" s="302">
        <v>80000</v>
      </c>
      <c r="AR123" s="302">
        <v>93920</v>
      </c>
      <c r="AS123" s="302">
        <v>120000</v>
      </c>
      <c r="AT123" s="302">
        <v>120000</v>
      </c>
      <c r="AU123" s="308">
        <v>146301</v>
      </c>
      <c r="AV123" s="254">
        <f t="shared" si="57"/>
        <v>1033920</v>
      </c>
      <c r="AW123" s="232">
        <f t="shared" si="56"/>
        <v>0</v>
      </c>
    </row>
    <row r="124" spans="1:50" s="21" customFormat="1" x14ac:dyDescent="0.2">
      <c r="A124" s="178"/>
      <c r="B124" s="180"/>
      <c r="C124" s="298">
        <v>321</v>
      </c>
      <c r="D124" s="305" t="s">
        <v>212</v>
      </c>
      <c r="E124" s="259">
        <v>385613</v>
      </c>
      <c r="F124" s="259"/>
      <c r="G124" s="259"/>
      <c r="H124" s="260">
        <v>-385613</v>
      </c>
      <c r="I124" s="259"/>
      <c r="J124" s="259"/>
      <c r="K124" s="259"/>
      <c r="L124" s="259"/>
      <c r="M124" s="259"/>
      <c r="N124" s="259"/>
      <c r="O124" s="259"/>
      <c r="P124" s="259"/>
      <c r="Q124" s="259"/>
      <c r="R124" s="259"/>
      <c r="S124" s="259"/>
      <c r="T124" s="259"/>
      <c r="U124" s="259"/>
      <c r="V124" s="259"/>
      <c r="W124" s="259"/>
      <c r="X124" s="259"/>
      <c r="Y124" s="259"/>
      <c r="Z124" s="259"/>
      <c r="AA124" s="259"/>
      <c r="AB124" s="259"/>
      <c r="AC124" s="259"/>
      <c r="AD124" s="248"/>
      <c r="AE124" s="239">
        <f t="shared" si="53"/>
        <v>0</v>
      </c>
      <c r="AF124" s="240">
        <f t="shared" si="54"/>
        <v>0</v>
      </c>
      <c r="AG124" s="96"/>
      <c r="AH124" s="5">
        <f t="shared" si="58"/>
        <v>0</v>
      </c>
      <c r="AI124" s="41"/>
      <c r="AJ124" s="302">
        <v>1300</v>
      </c>
      <c r="AK124" s="302"/>
      <c r="AL124" s="302"/>
      <c r="AM124" s="302"/>
      <c r="AN124" s="302">
        <v>24819</v>
      </c>
      <c r="AO124" s="302"/>
      <c r="AP124" s="302"/>
      <c r="AQ124" s="302"/>
      <c r="AR124" s="302"/>
      <c r="AS124" s="302"/>
      <c r="AT124" s="302"/>
      <c r="AU124" s="308"/>
      <c r="AV124" s="254">
        <f t="shared" si="57"/>
        <v>26119</v>
      </c>
      <c r="AW124" s="232">
        <f t="shared" si="56"/>
        <v>0</v>
      </c>
    </row>
    <row r="125" spans="1:50" s="21" customFormat="1" ht="25.5" x14ac:dyDescent="0.2">
      <c r="A125" s="178"/>
      <c r="B125" s="180"/>
      <c r="C125" s="280">
        <v>426</v>
      </c>
      <c r="D125" s="281" t="s">
        <v>213</v>
      </c>
      <c r="E125" s="259">
        <v>2045</v>
      </c>
      <c r="F125" s="259"/>
      <c r="G125" s="259"/>
      <c r="H125" s="260">
        <v>-2045</v>
      </c>
      <c r="I125" s="259"/>
      <c r="J125" s="259"/>
      <c r="K125" s="259"/>
      <c r="L125" s="259"/>
      <c r="M125" s="259"/>
      <c r="N125" s="259"/>
      <c r="O125" s="259"/>
      <c r="P125" s="259"/>
      <c r="Q125" s="259"/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  <c r="AD125" s="248"/>
      <c r="AE125" s="239">
        <f t="shared" si="53"/>
        <v>0</v>
      </c>
      <c r="AF125" s="240">
        <f t="shared" si="54"/>
        <v>0</v>
      </c>
      <c r="AG125" s="96"/>
      <c r="AH125" s="5">
        <f t="shared" si="58"/>
        <v>0</v>
      </c>
      <c r="AI125" s="41"/>
      <c r="AJ125" s="302"/>
      <c r="AK125" s="302"/>
      <c r="AL125" s="302"/>
      <c r="AM125" s="302"/>
      <c r="AN125" s="302"/>
      <c r="AO125" s="302"/>
      <c r="AP125" s="302"/>
      <c r="AQ125" s="302"/>
      <c r="AR125" s="302"/>
      <c r="AS125" s="302"/>
      <c r="AT125" s="302"/>
      <c r="AU125" s="308"/>
      <c r="AV125" s="254">
        <f t="shared" si="57"/>
        <v>0</v>
      </c>
      <c r="AW125" s="232">
        <f t="shared" si="56"/>
        <v>0</v>
      </c>
    </row>
    <row r="126" spans="1:50" s="21" customFormat="1" ht="25.5" x14ac:dyDescent="0.2">
      <c r="A126" s="178"/>
      <c r="B126" s="180"/>
      <c r="C126" s="280">
        <v>427</v>
      </c>
      <c r="D126" s="281" t="s">
        <v>214</v>
      </c>
      <c r="E126" s="259"/>
      <c r="F126" s="259"/>
      <c r="G126" s="259"/>
      <c r="H126" s="260"/>
      <c r="I126" s="259"/>
      <c r="J126" s="259"/>
      <c r="K126" s="259"/>
      <c r="L126" s="259"/>
      <c r="M126" s="259"/>
      <c r="N126" s="259"/>
      <c r="O126" s="259"/>
      <c r="P126" s="259"/>
      <c r="Q126" s="259"/>
      <c r="R126" s="259"/>
      <c r="S126" s="259"/>
      <c r="T126" s="259"/>
      <c r="U126" s="259"/>
      <c r="V126" s="259"/>
      <c r="W126" s="259"/>
      <c r="X126" s="259"/>
      <c r="Y126" s="259"/>
      <c r="Z126" s="259"/>
      <c r="AA126" s="259"/>
      <c r="AB126" s="259"/>
      <c r="AC126" s="259"/>
      <c r="AD126" s="248"/>
      <c r="AE126" s="239">
        <f t="shared" si="53"/>
        <v>0</v>
      </c>
      <c r="AF126" s="240">
        <f t="shared" si="54"/>
        <v>0</v>
      </c>
      <c r="AG126" s="96"/>
      <c r="AH126" s="5">
        <f t="shared" si="58"/>
        <v>0</v>
      </c>
      <c r="AI126" s="41"/>
      <c r="AJ126" s="302"/>
      <c r="AK126" s="302"/>
      <c r="AL126" s="302"/>
      <c r="AM126" s="302"/>
      <c r="AN126" s="302"/>
      <c r="AO126" s="302"/>
      <c r="AP126" s="302"/>
      <c r="AQ126" s="302"/>
      <c r="AR126" s="302"/>
      <c r="AS126" s="302"/>
      <c r="AT126" s="302"/>
      <c r="AU126" s="308"/>
      <c r="AV126" s="254">
        <f t="shared" si="57"/>
        <v>0</v>
      </c>
      <c r="AW126" s="232">
        <f t="shared" si="56"/>
        <v>0</v>
      </c>
    </row>
    <row r="127" spans="1:50" s="21" customFormat="1" ht="25.5" x14ac:dyDescent="0.2">
      <c r="A127" s="178"/>
      <c r="B127" s="180"/>
      <c r="C127" s="280">
        <v>428</v>
      </c>
      <c r="D127" s="281" t="s">
        <v>215</v>
      </c>
      <c r="E127" s="259"/>
      <c r="F127" s="259"/>
      <c r="G127" s="259"/>
      <c r="H127" s="260">
        <v>20216</v>
      </c>
      <c r="I127" s="259"/>
      <c r="J127" s="259"/>
      <c r="K127" s="259"/>
      <c r="L127" s="259"/>
      <c r="M127" s="259"/>
      <c r="N127" s="259"/>
      <c r="O127" s="259"/>
      <c r="P127" s="259"/>
      <c r="Q127" s="259"/>
      <c r="R127" s="259"/>
      <c r="S127" s="259"/>
      <c r="T127" s="259"/>
      <c r="U127" s="259">
        <v>9055</v>
      </c>
      <c r="V127" s="259"/>
      <c r="W127" s="259"/>
      <c r="X127" s="259"/>
      <c r="Y127" s="259"/>
      <c r="Z127" s="259"/>
      <c r="AA127" s="259"/>
      <c r="AB127" s="259"/>
      <c r="AC127" s="259"/>
      <c r="AD127" s="248"/>
      <c r="AE127" s="239">
        <f t="shared" si="53"/>
        <v>29271</v>
      </c>
      <c r="AF127" s="240">
        <f t="shared" si="54"/>
        <v>29271</v>
      </c>
      <c r="AG127" s="96"/>
      <c r="AH127" s="5">
        <f t="shared" si="58"/>
        <v>0</v>
      </c>
      <c r="AI127" s="41"/>
      <c r="AJ127" s="302"/>
      <c r="AK127" s="302"/>
      <c r="AL127" s="302"/>
      <c r="AM127" s="302"/>
      <c r="AN127" s="302"/>
      <c r="AO127" s="302"/>
      <c r="AP127" s="302"/>
      <c r="AQ127" s="302"/>
      <c r="AR127" s="302"/>
      <c r="AS127" s="302"/>
      <c r="AT127" s="302"/>
      <c r="AU127" s="308"/>
      <c r="AV127" s="254">
        <f t="shared" si="57"/>
        <v>0</v>
      </c>
      <c r="AW127" s="232">
        <f t="shared" si="56"/>
        <v>0</v>
      </c>
    </row>
    <row r="128" spans="1:50" s="21" customFormat="1" ht="38.25" x14ac:dyDescent="0.2">
      <c r="A128" s="178"/>
      <c r="B128" s="180" t="s">
        <v>142</v>
      </c>
      <c r="C128" s="280" t="s">
        <v>216</v>
      </c>
      <c r="D128" s="281" t="s">
        <v>217</v>
      </c>
      <c r="E128" s="259"/>
      <c r="F128" s="259"/>
      <c r="G128" s="259"/>
      <c r="H128" s="260"/>
      <c r="I128" s="259"/>
      <c r="J128" s="259"/>
      <c r="K128" s="259"/>
      <c r="L128" s="259"/>
      <c r="M128" s="259"/>
      <c r="N128" s="259"/>
      <c r="O128" s="259"/>
      <c r="P128" s="259"/>
      <c r="Q128" s="259"/>
      <c r="R128" s="259"/>
      <c r="S128" s="259"/>
      <c r="T128" s="259"/>
      <c r="U128" s="259"/>
      <c r="V128" s="259"/>
      <c r="W128" s="259"/>
      <c r="X128" s="259"/>
      <c r="Y128" s="259"/>
      <c r="Z128" s="259"/>
      <c r="AA128" s="259"/>
      <c r="AB128" s="259"/>
      <c r="AC128" s="259"/>
      <c r="AD128" s="248"/>
      <c r="AE128" s="239">
        <f t="shared" si="53"/>
        <v>0</v>
      </c>
      <c r="AF128" s="240">
        <f t="shared" si="54"/>
        <v>0</v>
      </c>
      <c r="AG128" s="96"/>
      <c r="AH128" s="5">
        <f t="shared" si="58"/>
        <v>0</v>
      </c>
      <c r="AI128" s="41"/>
      <c r="AJ128" s="302"/>
      <c r="AK128" s="302"/>
      <c r="AL128" s="302">
        <v>8000</v>
      </c>
      <c r="AM128" s="302"/>
      <c r="AN128" s="302"/>
      <c r="AO128" s="302"/>
      <c r="AP128" s="302"/>
      <c r="AQ128" s="302"/>
      <c r="AR128" s="302"/>
      <c r="AS128" s="302"/>
      <c r="AT128" s="302"/>
      <c r="AU128" s="308">
        <f>20216-8000</f>
        <v>12216</v>
      </c>
      <c r="AV128" s="254">
        <f t="shared" si="57"/>
        <v>20216</v>
      </c>
      <c r="AW128" s="232">
        <f t="shared" si="56"/>
        <v>9055</v>
      </c>
    </row>
    <row r="129" spans="1:49" s="21" customFormat="1" x14ac:dyDescent="0.2">
      <c r="A129" s="178"/>
      <c r="B129" s="180" t="s">
        <v>142</v>
      </c>
      <c r="C129" s="280" t="s">
        <v>218</v>
      </c>
      <c r="D129" s="305" t="s">
        <v>219</v>
      </c>
      <c r="E129" s="259"/>
      <c r="F129" s="259"/>
      <c r="G129" s="259"/>
      <c r="H129" s="260"/>
      <c r="I129" s="259">
        <v>24961</v>
      </c>
      <c r="J129" s="259"/>
      <c r="K129" s="259"/>
      <c r="L129" s="259"/>
      <c r="M129" s="259"/>
      <c r="N129" s="259"/>
      <c r="O129" s="259"/>
      <c r="P129" s="259"/>
      <c r="Q129" s="259"/>
      <c r="R129" s="259"/>
      <c r="S129" s="259"/>
      <c r="T129" s="259"/>
      <c r="U129" s="259"/>
      <c r="V129" s="259"/>
      <c r="W129" s="259"/>
      <c r="X129" s="259"/>
      <c r="Y129" s="259"/>
      <c r="Z129" s="259"/>
      <c r="AA129" s="259"/>
      <c r="AB129" s="259"/>
      <c r="AC129" s="259"/>
      <c r="AD129" s="248"/>
      <c r="AE129" s="239">
        <f t="shared" si="53"/>
        <v>24961</v>
      </c>
      <c r="AF129" s="240">
        <f t="shared" si="54"/>
        <v>24961</v>
      </c>
      <c r="AG129" s="96"/>
      <c r="AH129" s="5">
        <f t="shared" si="58"/>
        <v>0</v>
      </c>
      <c r="AI129" s="41"/>
      <c r="AJ129" s="302"/>
      <c r="AK129" s="302"/>
      <c r="AL129" s="302"/>
      <c r="AM129" s="302"/>
      <c r="AN129" s="302"/>
      <c r="AO129" s="302"/>
      <c r="AP129" s="302"/>
      <c r="AQ129" s="302"/>
      <c r="AR129" s="302"/>
      <c r="AS129" s="302"/>
      <c r="AT129" s="302"/>
      <c r="AU129" s="308"/>
      <c r="AV129" s="254">
        <f t="shared" si="57"/>
        <v>0</v>
      </c>
      <c r="AW129" s="232">
        <f t="shared" si="56"/>
        <v>0</v>
      </c>
    </row>
    <row r="130" spans="1:49" s="21" customFormat="1" ht="25.5" x14ac:dyDescent="0.2">
      <c r="A130" s="178"/>
      <c r="B130" s="180" t="s">
        <v>142</v>
      </c>
      <c r="C130" s="280" t="s">
        <v>220</v>
      </c>
      <c r="D130" s="281" t="s">
        <v>221</v>
      </c>
      <c r="E130" s="259"/>
      <c r="F130" s="259"/>
      <c r="G130" s="259"/>
      <c r="H130" s="260"/>
      <c r="I130" s="259">
        <v>4696</v>
      </c>
      <c r="J130" s="259"/>
      <c r="K130" s="259"/>
      <c r="L130" s="259"/>
      <c r="M130" s="259"/>
      <c r="N130" s="259"/>
      <c r="O130" s="259"/>
      <c r="P130" s="259"/>
      <c r="Q130" s="259"/>
      <c r="R130" s="259"/>
      <c r="S130" s="259"/>
      <c r="T130" s="259"/>
      <c r="U130" s="259"/>
      <c r="V130" s="259"/>
      <c r="W130" s="259"/>
      <c r="X130" s="259"/>
      <c r="Y130" s="259"/>
      <c r="Z130" s="259"/>
      <c r="AA130" s="259"/>
      <c r="AB130" s="259"/>
      <c r="AC130" s="259"/>
      <c r="AD130" s="248"/>
      <c r="AE130" s="239">
        <f t="shared" si="53"/>
        <v>4696</v>
      </c>
      <c r="AF130" s="240">
        <f t="shared" si="54"/>
        <v>4696</v>
      </c>
      <c r="AG130" s="96"/>
      <c r="AH130" s="5">
        <f t="shared" si="58"/>
        <v>0</v>
      </c>
      <c r="AI130" s="41"/>
      <c r="AJ130" s="302"/>
      <c r="AK130" s="302"/>
      <c r="AL130" s="302"/>
      <c r="AM130" s="302"/>
      <c r="AN130" s="302"/>
      <c r="AO130" s="302"/>
      <c r="AP130" s="302"/>
      <c r="AQ130" s="302"/>
      <c r="AR130" s="302"/>
      <c r="AS130" s="302"/>
      <c r="AT130" s="302"/>
      <c r="AU130" s="308">
        <v>24961</v>
      </c>
      <c r="AV130" s="254">
        <f t="shared" si="57"/>
        <v>24961</v>
      </c>
      <c r="AW130" s="232">
        <f t="shared" si="56"/>
        <v>0</v>
      </c>
    </row>
    <row r="131" spans="1:49" s="21" customFormat="1" ht="25.5" x14ac:dyDescent="0.2">
      <c r="A131" s="178"/>
      <c r="B131" s="180" t="s">
        <v>142</v>
      </c>
      <c r="C131" s="280" t="s">
        <v>222</v>
      </c>
      <c r="D131" s="281" t="s">
        <v>223</v>
      </c>
      <c r="E131" s="259"/>
      <c r="F131" s="259"/>
      <c r="G131" s="259"/>
      <c r="H131" s="260"/>
      <c r="I131" s="259">
        <v>26855</v>
      </c>
      <c r="J131" s="259"/>
      <c r="K131" s="259"/>
      <c r="L131" s="259"/>
      <c r="M131" s="259"/>
      <c r="N131" s="259"/>
      <c r="O131" s="259"/>
      <c r="P131" s="259"/>
      <c r="Q131" s="259"/>
      <c r="R131" s="259"/>
      <c r="S131" s="259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  <c r="AD131" s="248"/>
      <c r="AE131" s="239">
        <f t="shared" si="53"/>
        <v>26855</v>
      </c>
      <c r="AF131" s="240">
        <f t="shared" si="54"/>
        <v>26855</v>
      </c>
      <c r="AG131" s="96"/>
      <c r="AH131" s="5">
        <f t="shared" si="58"/>
        <v>0</v>
      </c>
      <c r="AI131" s="41"/>
      <c r="AJ131" s="302"/>
      <c r="AK131" s="302"/>
      <c r="AL131" s="302"/>
      <c r="AM131" s="302"/>
      <c r="AN131" s="302"/>
      <c r="AO131" s="302"/>
      <c r="AP131" s="302"/>
      <c r="AQ131" s="302"/>
      <c r="AR131" s="302"/>
      <c r="AS131" s="302"/>
      <c r="AT131" s="302"/>
      <c r="AU131" s="308">
        <v>4696</v>
      </c>
      <c r="AV131" s="254">
        <f t="shared" si="57"/>
        <v>4696</v>
      </c>
      <c r="AW131" s="232">
        <f t="shared" si="56"/>
        <v>0</v>
      </c>
    </row>
    <row r="132" spans="1:49" s="21" customFormat="1" ht="38.25" x14ac:dyDescent="0.2">
      <c r="A132" s="178"/>
      <c r="B132" s="180" t="s">
        <v>142</v>
      </c>
      <c r="C132" s="280" t="s">
        <v>224</v>
      </c>
      <c r="D132" s="281" t="s">
        <v>225</v>
      </c>
      <c r="E132" s="259"/>
      <c r="F132" s="259"/>
      <c r="G132" s="259"/>
      <c r="H132" s="260"/>
      <c r="I132" s="259">
        <v>9065</v>
      </c>
      <c r="J132" s="259"/>
      <c r="K132" s="259"/>
      <c r="L132" s="259"/>
      <c r="M132" s="259"/>
      <c r="N132" s="259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48"/>
      <c r="AE132" s="239">
        <f t="shared" si="53"/>
        <v>9065</v>
      </c>
      <c r="AF132" s="240">
        <f t="shared" si="54"/>
        <v>9065</v>
      </c>
      <c r="AG132" s="96"/>
      <c r="AH132" s="5">
        <f t="shared" si="58"/>
        <v>0</v>
      </c>
      <c r="AI132" s="41"/>
      <c r="AJ132" s="302"/>
      <c r="AK132" s="302"/>
      <c r="AL132" s="302"/>
      <c r="AM132" s="302"/>
      <c r="AN132" s="302"/>
      <c r="AO132" s="302"/>
      <c r="AP132" s="302"/>
      <c r="AQ132" s="302"/>
      <c r="AR132" s="302"/>
      <c r="AS132" s="302"/>
      <c r="AT132" s="302"/>
      <c r="AU132" s="308">
        <v>26855</v>
      </c>
      <c r="AV132" s="254">
        <f t="shared" si="57"/>
        <v>26855</v>
      </c>
      <c r="AW132" s="232">
        <f t="shared" si="56"/>
        <v>0</v>
      </c>
    </row>
    <row r="133" spans="1:49" s="21" customFormat="1" ht="38.25" x14ac:dyDescent="0.2">
      <c r="A133" s="178"/>
      <c r="B133" s="180" t="s">
        <v>142</v>
      </c>
      <c r="C133" s="280" t="s">
        <v>226</v>
      </c>
      <c r="D133" s="281" t="s">
        <v>227</v>
      </c>
      <c r="E133" s="259"/>
      <c r="F133" s="259"/>
      <c r="G133" s="259"/>
      <c r="H133" s="260"/>
      <c r="I133" s="259">
        <v>23417</v>
      </c>
      <c r="J133" s="259"/>
      <c r="K133" s="259"/>
      <c r="L133" s="259"/>
      <c r="M133" s="259"/>
      <c r="N133" s="259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48"/>
      <c r="AE133" s="239">
        <f t="shared" si="53"/>
        <v>23417</v>
      </c>
      <c r="AF133" s="240">
        <f t="shared" si="54"/>
        <v>23417</v>
      </c>
      <c r="AG133" s="96"/>
      <c r="AH133" s="5">
        <f t="shared" si="58"/>
        <v>0</v>
      </c>
      <c r="AI133" s="41"/>
      <c r="AJ133" s="302"/>
      <c r="AK133" s="302"/>
      <c r="AL133" s="302"/>
      <c r="AM133" s="302"/>
      <c r="AN133" s="302"/>
      <c r="AO133" s="302"/>
      <c r="AP133" s="302"/>
      <c r="AQ133" s="302"/>
      <c r="AR133" s="302"/>
      <c r="AS133" s="302"/>
      <c r="AT133" s="302"/>
      <c r="AU133" s="308">
        <v>9065</v>
      </c>
      <c r="AV133" s="254">
        <f t="shared" si="57"/>
        <v>9065</v>
      </c>
      <c r="AW133" s="232">
        <f t="shared" si="56"/>
        <v>0</v>
      </c>
    </row>
    <row r="134" spans="1:49" s="21" customFormat="1" ht="38.25" x14ac:dyDescent="0.2">
      <c r="A134" s="178"/>
      <c r="B134" s="180" t="s">
        <v>142</v>
      </c>
      <c r="C134" s="280" t="s">
        <v>228</v>
      </c>
      <c r="D134" s="281" t="s">
        <v>229</v>
      </c>
      <c r="E134" s="259"/>
      <c r="F134" s="259"/>
      <c r="G134" s="259"/>
      <c r="H134" s="260"/>
      <c r="I134" s="259">
        <v>35907</v>
      </c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48"/>
      <c r="AE134" s="239">
        <f t="shared" si="53"/>
        <v>35907</v>
      </c>
      <c r="AF134" s="240">
        <f t="shared" si="54"/>
        <v>35907</v>
      </c>
      <c r="AG134" s="96"/>
      <c r="AH134" s="5">
        <f t="shared" si="58"/>
        <v>0</v>
      </c>
      <c r="AI134" s="41"/>
      <c r="AJ134" s="302"/>
      <c r="AK134" s="302"/>
      <c r="AL134" s="302">
        <v>600</v>
      </c>
      <c r="AM134" s="302"/>
      <c r="AN134" s="302"/>
      <c r="AO134" s="302"/>
      <c r="AP134" s="302"/>
      <c r="AQ134" s="302"/>
      <c r="AR134" s="302"/>
      <c r="AS134" s="302"/>
      <c r="AT134" s="302"/>
      <c r="AU134" s="308">
        <f>23417-600</f>
        <v>22817</v>
      </c>
      <c r="AV134" s="254">
        <f t="shared" si="57"/>
        <v>23417</v>
      </c>
      <c r="AW134" s="232">
        <f t="shared" si="56"/>
        <v>0</v>
      </c>
    </row>
    <row r="135" spans="1:49" s="21" customFormat="1" ht="25.5" x14ac:dyDescent="0.2">
      <c r="A135" s="178"/>
      <c r="B135" s="180" t="s">
        <v>142</v>
      </c>
      <c r="C135" s="280" t="s">
        <v>230</v>
      </c>
      <c r="D135" s="281" t="s">
        <v>231</v>
      </c>
      <c r="E135" s="259"/>
      <c r="F135" s="259"/>
      <c r="G135" s="259"/>
      <c r="H135" s="260"/>
      <c r="I135" s="259">
        <v>23384</v>
      </c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48"/>
      <c r="AE135" s="239">
        <f t="shared" si="53"/>
        <v>23384</v>
      </c>
      <c r="AF135" s="240">
        <f t="shared" si="54"/>
        <v>23384</v>
      </c>
      <c r="AG135" s="96"/>
      <c r="AH135" s="5">
        <f t="shared" si="58"/>
        <v>0</v>
      </c>
      <c r="AI135" s="41"/>
      <c r="AJ135" s="302"/>
      <c r="AK135" s="302"/>
      <c r="AL135" s="302"/>
      <c r="AM135" s="302"/>
      <c r="AN135" s="302"/>
      <c r="AO135" s="302"/>
      <c r="AP135" s="302"/>
      <c r="AQ135" s="302"/>
      <c r="AR135" s="302"/>
      <c r="AS135" s="302"/>
      <c r="AT135" s="302"/>
      <c r="AU135" s="308">
        <v>35907</v>
      </c>
      <c r="AV135" s="254">
        <f t="shared" si="57"/>
        <v>35907</v>
      </c>
      <c r="AW135" s="232">
        <f t="shared" si="56"/>
        <v>0</v>
      </c>
    </row>
    <row r="136" spans="1:49" s="21" customFormat="1" ht="25.5" x14ac:dyDescent="0.2">
      <c r="A136" s="178"/>
      <c r="B136" s="180" t="s">
        <v>142</v>
      </c>
      <c r="C136" s="280" t="s">
        <v>232</v>
      </c>
      <c r="D136" s="281" t="s">
        <v>233</v>
      </c>
      <c r="E136" s="259"/>
      <c r="F136" s="259"/>
      <c r="G136" s="259"/>
      <c r="H136" s="260"/>
      <c r="I136" s="259">
        <v>6023</v>
      </c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48"/>
      <c r="AE136" s="239">
        <f t="shared" si="53"/>
        <v>6023</v>
      </c>
      <c r="AF136" s="240">
        <f t="shared" si="54"/>
        <v>6023</v>
      </c>
      <c r="AG136" s="96"/>
      <c r="AH136" s="5">
        <f t="shared" si="58"/>
        <v>0</v>
      </c>
      <c r="AI136" s="41"/>
      <c r="AJ136" s="302"/>
      <c r="AK136" s="302"/>
      <c r="AL136" s="302"/>
      <c r="AM136" s="302"/>
      <c r="AN136" s="302"/>
      <c r="AO136" s="302"/>
      <c r="AP136" s="302"/>
      <c r="AQ136" s="302"/>
      <c r="AR136" s="302"/>
      <c r="AS136" s="302"/>
      <c r="AT136" s="302"/>
      <c r="AU136" s="308">
        <v>23384</v>
      </c>
      <c r="AV136" s="254">
        <f t="shared" si="57"/>
        <v>23384</v>
      </c>
      <c r="AW136" s="232">
        <f t="shared" si="56"/>
        <v>0</v>
      </c>
    </row>
    <row r="137" spans="1:49" s="21" customFormat="1" ht="38.25" x14ac:dyDescent="0.2">
      <c r="A137" s="178"/>
      <c r="B137" s="180" t="s">
        <v>142</v>
      </c>
      <c r="C137" s="280" t="s">
        <v>234</v>
      </c>
      <c r="D137" s="281" t="s">
        <v>235</v>
      </c>
      <c r="E137" s="259"/>
      <c r="F137" s="259"/>
      <c r="G137" s="259"/>
      <c r="H137" s="260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48"/>
      <c r="AE137" s="239">
        <f t="shared" si="53"/>
        <v>0</v>
      </c>
      <c r="AF137" s="240">
        <f t="shared" si="54"/>
        <v>0</v>
      </c>
      <c r="AG137" s="96"/>
      <c r="AH137" s="5">
        <f t="shared" si="58"/>
        <v>0</v>
      </c>
      <c r="AI137" s="41"/>
      <c r="AJ137" s="302"/>
      <c r="AK137" s="302"/>
      <c r="AL137" s="302"/>
      <c r="AM137" s="302"/>
      <c r="AN137" s="302"/>
      <c r="AO137" s="302"/>
      <c r="AP137" s="302"/>
      <c r="AQ137" s="302"/>
      <c r="AR137" s="302"/>
      <c r="AS137" s="302"/>
      <c r="AT137" s="302"/>
      <c r="AU137" s="308">
        <v>6023</v>
      </c>
      <c r="AV137" s="254">
        <f t="shared" si="57"/>
        <v>6023</v>
      </c>
      <c r="AW137" s="232">
        <f t="shared" si="56"/>
        <v>0</v>
      </c>
    </row>
    <row r="138" spans="1:49" s="21" customFormat="1" x14ac:dyDescent="0.2">
      <c r="A138" s="178"/>
      <c r="B138" s="180" t="s">
        <v>142</v>
      </c>
      <c r="C138" s="280" t="s">
        <v>236</v>
      </c>
      <c r="D138" s="305" t="s">
        <v>237</v>
      </c>
      <c r="E138" s="259"/>
      <c r="F138" s="259"/>
      <c r="G138" s="259"/>
      <c r="H138" s="260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48"/>
      <c r="AE138" s="239">
        <f t="shared" si="53"/>
        <v>0</v>
      </c>
      <c r="AF138" s="240">
        <f t="shared" si="54"/>
        <v>0</v>
      </c>
      <c r="AG138" s="96"/>
      <c r="AH138" s="5">
        <f t="shared" si="58"/>
        <v>0</v>
      </c>
      <c r="AI138" s="41"/>
      <c r="AJ138" s="302"/>
      <c r="AK138" s="302"/>
      <c r="AL138" s="302"/>
      <c r="AM138" s="302"/>
      <c r="AN138" s="302"/>
      <c r="AO138" s="302"/>
      <c r="AP138" s="302"/>
      <c r="AQ138" s="302"/>
      <c r="AR138" s="302"/>
      <c r="AS138" s="302"/>
      <c r="AT138" s="302"/>
      <c r="AU138" s="308"/>
      <c r="AV138" s="254">
        <f t="shared" si="57"/>
        <v>0</v>
      </c>
      <c r="AW138" s="232">
        <f t="shared" si="56"/>
        <v>0</v>
      </c>
    </row>
    <row r="139" spans="1:49" s="21" customFormat="1" ht="38.25" x14ac:dyDescent="0.2">
      <c r="A139" s="178"/>
      <c r="B139" s="180" t="s">
        <v>142</v>
      </c>
      <c r="C139" s="280" t="s">
        <v>238</v>
      </c>
      <c r="D139" s="281" t="s">
        <v>239</v>
      </c>
      <c r="E139" s="259"/>
      <c r="F139" s="259"/>
      <c r="G139" s="259"/>
      <c r="H139" s="260"/>
      <c r="I139" s="259">
        <v>14972</v>
      </c>
      <c r="J139" s="259"/>
      <c r="K139" s="259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59"/>
      <c r="W139" s="259"/>
      <c r="X139" s="259"/>
      <c r="Y139" s="259"/>
      <c r="Z139" s="259"/>
      <c r="AA139" s="259"/>
      <c r="AB139" s="259"/>
      <c r="AC139" s="259"/>
      <c r="AD139" s="248"/>
      <c r="AE139" s="239">
        <f t="shared" si="53"/>
        <v>14972</v>
      </c>
      <c r="AF139" s="240">
        <f t="shared" si="54"/>
        <v>14972</v>
      </c>
      <c r="AG139" s="96"/>
      <c r="AH139" s="5">
        <f t="shared" si="58"/>
        <v>0</v>
      </c>
      <c r="AI139" s="41"/>
      <c r="AJ139" s="302"/>
      <c r="AK139" s="302"/>
      <c r="AL139" s="302"/>
      <c r="AM139" s="302"/>
      <c r="AN139" s="302"/>
      <c r="AO139" s="302"/>
      <c r="AP139" s="302"/>
      <c r="AQ139" s="302"/>
      <c r="AR139" s="302"/>
      <c r="AS139" s="302"/>
      <c r="AT139" s="302"/>
      <c r="AU139" s="308"/>
      <c r="AV139" s="254">
        <f t="shared" si="57"/>
        <v>0</v>
      </c>
      <c r="AW139" s="232">
        <f t="shared" si="56"/>
        <v>0</v>
      </c>
    </row>
    <row r="140" spans="1:49" s="21" customFormat="1" ht="38.25" x14ac:dyDescent="0.2">
      <c r="A140" s="178"/>
      <c r="B140" s="180" t="s">
        <v>142</v>
      </c>
      <c r="C140" s="280" t="s">
        <v>240</v>
      </c>
      <c r="D140" s="281" t="s">
        <v>241</v>
      </c>
      <c r="E140" s="259"/>
      <c r="F140" s="259"/>
      <c r="G140" s="259"/>
      <c r="H140" s="260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48"/>
      <c r="AE140" s="239">
        <f t="shared" si="53"/>
        <v>0</v>
      </c>
      <c r="AF140" s="240">
        <f t="shared" si="54"/>
        <v>0</v>
      </c>
      <c r="AG140" s="96"/>
      <c r="AH140" s="5">
        <f t="shared" si="58"/>
        <v>0</v>
      </c>
      <c r="AI140" s="41"/>
      <c r="AJ140" s="302"/>
      <c r="AK140" s="302"/>
      <c r="AL140" s="302">
        <v>1200</v>
      </c>
      <c r="AM140" s="302"/>
      <c r="AN140" s="302"/>
      <c r="AO140" s="302"/>
      <c r="AP140" s="302"/>
      <c r="AQ140" s="302"/>
      <c r="AR140" s="302"/>
      <c r="AS140" s="302"/>
      <c r="AT140" s="302"/>
      <c r="AU140" s="308">
        <f>14972-1200</f>
        <v>13772</v>
      </c>
      <c r="AV140" s="254">
        <f t="shared" si="57"/>
        <v>14972</v>
      </c>
      <c r="AW140" s="232">
        <f t="shared" si="56"/>
        <v>0</v>
      </c>
    </row>
    <row r="141" spans="1:49" s="21" customFormat="1" ht="38.25" x14ac:dyDescent="0.2">
      <c r="A141" s="178"/>
      <c r="B141" s="180" t="s">
        <v>142</v>
      </c>
      <c r="C141" s="280" t="s">
        <v>242</v>
      </c>
      <c r="D141" s="281" t="s">
        <v>243</v>
      </c>
      <c r="E141" s="259"/>
      <c r="F141" s="259"/>
      <c r="G141" s="259"/>
      <c r="H141" s="260"/>
      <c r="I141" s="259">
        <v>15592</v>
      </c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48"/>
      <c r="AE141" s="239">
        <f t="shared" si="53"/>
        <v>15592</v>
      </c>
      <c r="AF141" s="240">
        <f t="shared" si="54"/>
        <v>15592</v>
      </c>
      <c r="AG141" s="96"/>
      <c r="AH141" s="5">
        <f t="shared" si="58"/>
        <v>0</v>
      </c>
      <c r="AI141" s="41"/>
      <c r="AJ141" s="302"/>
      <c r="AK141" s="302"/>
      <c r="AL141" s="302"/>
      <c r="AM141" s="302"/>
      <c r="AN141" s="302"/>
      <c r="AO141" s="302"/>
      <c r="AP141" s="302"/>
      <c r="AQ141" s="302"/>
      <c r="AR141" s="302"/>
      <c r="AS141" s="302"/>
      <c r="AT141" s="302"/>
      <c r="AU141" s="308"/>
      <c r="AV141" s="254">
        <f t="shared" si="57"/>
        <v>0</v>
      </c>
      <c r="AW141" s="232">
        <f t="shared" si="56"/>
        <v>0</v>
      </c>
    </row>
    <row r="142" spans="1:49" s="21" customFormat="1" ht="38.25" x14ac:dyDescent="0.2">
      <c r="A142" s="178"/>
      <c r="B142" s="180" t="s">
        <v>142</v>
      </c>
      <c r="C142" s="280" t="s">
        <v>244</v>
      </c>
      <c r="D142" s="281" t="s">
        <v>245</v>
      </c>
      <c r="E142" s="259"/>
      <c r="F142" s="259"/>
      <c r="G142" s="259"/>
      <c r="H142" s="260"/>
      <c r="I142" s="259">
        <v>57024</v>
      </c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48"/>
      <c r="AE142" s="239">
        <f t="shared" si="53"/>
        <v>57024</v>
      </c>
      <c r="AF142" s="240">
        <f t="shared" si="54"/>
        <v>57024</v>
      </c>
      <c r="AG142" s="96"/>
      <c r="AH142" s="5">
        <f t="shared" si="58"/>
        <v>0</v>
      </c>
      <c r="AI142" s="41"/>
      <c r="AJ142" s="302"/>
      <c r="AK142" s="302"/>
      <c r="AL142" s="302">
        <v>120</v>
      </c>
      <c r="AM142" s="302"/>
      <c r="AN142" s="302"/>
      <c r="AO142" s="302"/>
      <c r="AP142" s="302"/>
      <c r="AQ142" s="302"/>
      <c r="AR142" s="302"/>
      <c r="AS142" s="302"/>
      <c r="AT142" s="302"/>
      <c r="AU142" s="308">
        <f>15592-120</f>
        <v>15472</v>
      </c>
      <c r="AV142" s="254">
        <f t="shared" si="57"/>
        <v>15592</v>
      </c>
      <c r="AW142" s="232">
        <f t="shared" si="56"/>
        <v>0</v>
      </c>
    </row>
    <row r="143" spans="1:49" s="21" customFormat="1" ht="38.25" x14ac:dyDescent="0.2">
      <c r="A143" s="178"/>
      <c r="B143" s="180" t="s">
        <v>142</v>
      </c>
      <c r="C143" s="280" t="s">
        <v>246</v>
      </c>
      <c r="D143" s="281" t="s">
        <v>247</v>
      </c>
      <c r="E143" s="259"/>
      <c r="F143" s="259"/>
      <c r="G143" s="259"/>
      <c r="H143" s="260"/>
      <c r="I143" s="259">
        <v>4192</v>
      </c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48"/>
      <c r="AE143" s="239">
        <f t="shared" si="53"/>
        <v>4192</v>
      </c>
      <c r="AF143" s="240">
        <f t="shared" si="54"/>
        <v>4192</v>
      </c>
      <c r="AG143" s="96"/>
      <c r="AH143" s="5">
        <f t="shared" si="58"/>
        <v>0</v>
      </c>
      <c r="AI143" s="41"/>
      <c r="AJ143" s="302"/>
      <c r="AK143" s="302"/>
      <c r="AL143" s="302">
        <v>1500</v>
      </c>
      <c r="AM143" s="302"/>
      <c r="AN143" s="302"/>
      <c r="AO143" s="302"/>
      <c r="AP143" s="302"/>
      <c r="AQ143" s="302"/>
      <c r="AR143" s="302"/>
      <c r="AS143" s="302"/>
      <c r="AT143" s="302"/>
      <c r="AU143" s="308">
        <f>57024-1500</f>
        <v>55524</v>
      </c>
      <c r="AV143" s="254">
        <f t="shared" si="57"/>
        <v>57024</v>
      </c>
      <c r="AW143" s="232">
        <f t="shared" si="56"/>
        <v>0</v>
      </c>
    </row>
    <row r="144" spans="1:49" s="21" customFormat="1" ht="38.25" x14ac:dyDescent="0.2">
      <c r="A144" s="178"/>
      <c r="B144" s="180" t="s">
        <v>142</v>
      </c>
      <c r="C144" s="280" t="s">
        <v>248</v>
      </c>
      <c r="D144" s="281" t="s">
        <v>249</v>
      </c>
      <c r="E144" s="259"/>
      <c r="F144" s="259"/>
      <c r="G144" s="259"/>
      <c r="H144" s="260"/>
      <c r="I144" s="259">
        <v>28305</v>
      </c>
      <c r="J144" s="259"/>
      <c r="K144" s="259"/>
      <c r="L144" s="259"/>
      <c r="M144" s="259"/>
      <c r="N144" s="259"/>
      <c r="O144" s="259"/>
      <c r="P144" s="259"/>
      <c r="Q144" s="259"/>
      <c r="R144" s="259"/>
      <c r="S144" s="259"/>
      <c r="T144" s="259"/>
      <c r="U144" s="259"/>
      <c r="V144" s="259"/>
      <c r="W144" s="259"/>
      <c r="X144" s="259"/>
      <c r="Y144" s="259"/>
      <c r="Z144" s="259"/>
      <c r="AA144" s="259"/>
      <c r="AB144" s="259"/>
      <c r="AC144" s="259"/>
      <c r="AD144" s="248"/>
      <c r="AE144" s="239">
        <f t="shared" si="53"/>
        <v>28305</v>
      </c>
      <c r="AF144" s="240">
        <f t="shared" si="54"/>
        <v>28305</v>
      </c>
      <c r="AG144" s="96"/>
      <c r="AH144" s="5">
        <f t="shared" si="58"/>
        <v>0</v>
      </c>
      <c r="AI144" s="41"/>
      <c r="AJ144" s="302"/>
      <c r="AK144" s="302"/>
      <c r="AL144" s="302">
        <v>1200</v>
      </c>
      <c r="AM144" s="302"/>
      <c r="AN144" s="302"/>
      <c r="AO144" s="302"/>
      <c r="AP144" s="302"/>
      <c r="AQ144" s="302"/>
      <c r="AR144" s="302"/>
      <c r="AS144" s="302"/>
      <c r="AT144" s="302"/>
      <c r="AU144" s="308">
        <f>4192-1200</f>
        <v>2992</v>
      </c>
      <c r="AV144" s="254">
        <f t="shared" si="57"/>
        <v>4192</v>
      </c>
      <c r="AW144" s="232">
        <f t="shared" si="56"/>
        <v>0</v>
      </c>
    </row>
    <row r="145" spans="1:49" s="21" customFormat="1" ht="25.5" x14ac:dyDescent="0.2">
      <c r="A145" s="178"/>
      <c r="B145" s="180" t="s">
        <v>142</v>
      </c>
      <c r="C145" s="280" t="s">
        <v>250</v>
      </c>
      <c r="D145" s="281" t="s">
        <v>251</v>
      </c>
      <c r="E145" s="259"/>
      <c r="F145" s="259"/>
      <c r="G145" s="259"/>
      <c r="H145" s="260"/>
      <c r="I145" s="259">
        <v>681</v>
      </c>
      <c r="J145" s="259"/>
      <c r="K145" s="259"/>
      <c r="L145" s="259"/>
      <c r="M145" s="259"/>
      <c r="N145" s="259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48"/>
      <c r="AE145" s="239">
        <f t="shared" si="53"/>
        <v>681</v>
      </c>
      <c r="AF145" s="240">
        <f t="shared" si="54"/>
        <v>681</v>
      </c>
      <c r="AG145" s="96"/>
      <c r="AH145" s="5">
        <f t="shared" si="58"/>
        <v>0</v>
      </c>
      <c r="AI145" s="41"/>
      <c r="AJ145" s="302"/>
      <c r="AK145" s="302"/>
      <c r="AL145" s="302">
        <v>1500</v>
      </c>
      <c r="AM145" s="302"/>
      <c r="AN145" s="302"/>
      <c r="AO145" s="302"/>
      <c r="AP145" s="302"/>
      <c r="AQ145" s="302"/>
      <c r="AR145" s="302"/>
      <c r="AS145" s="302"/>
      <c r="AT145" s="302"/>
      <c r="AU145" s="308">
        <f>28305-1500</f>
        <v>26805</v>
      </c>
      <c r="AV145" s="254">
        <f t="shared" si="57"/>
        <v>28305</v>
      </c>
      <c r="AW145" s="232">
        <f t="shared" si="56"/>
        <v>0</v>
      </c>
    </row>
    <row r="146" spans="1:49" s="21" customFormat="1" ht="38.25" x14ac:dyDescent="0.2">
      <c r="A146" s="178"/>
      <c r="B146" s="180" t="s">
        <v>142</v>
      </c>
      <c r="C146" s="280" t="s">
        <v>252</v>
      </c>
      <c r="D146" s="281" t="s">
        <v>253</v>
      </c>
      <c r="E146" s="259"/>
      <c r="F146" s="259"/>
      <c r="G146" s="259"/>
      <c r="H146" s="260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48"/>
      <c r="AE146" s="239">
        <f t="shared" si="53"/>
        <v>0</v>
      </c>
      <c r="AF146" s="240">
        <f t="shared" si="54"/>
        <v>0</v>
      </c>
      <c r="AG146" s="96"/>
      <c r="AH146" s="5">
        <f t="shared" si="58"/>
        <v>0</v>
      </c>
      <c r="AI146" s="41"/>
      <c r="AJ146" s="302"/>
      <c r="AK146" s="302"/>
      <c r="AL146" s="302"/>
      <c r="AM146" s="302"/>
      <c r="AN146" s="302"/>
      <c r="AO146" s="302"/>
      <c r="AP146" s="302"/>
      <c r="AQ146" s="302"/>
      <c r="AR146" s="302"/>
      <c r="AS146" s="302"/>
      <c r="AT146" s="302"/>
      <c r="AU146" s="308">
        <v>681</v>
      </c>
      <c r="AV146" s="254">
        <f t="shared" si="57"/>
        <v>681</v>
      </c>
      <c r="AW146" s="232">
        <f t="shared" si="56"/>
        <v>0</v>
      </c>
    </row>
    <row r="147" spans="1:49" s="21" customFormat="1" ht="38.25" x14ac:dyDescent="0.2">
      <c r="A147" s="178"/>
      <c r="B147" s="180" t="s">
        <v>142</v>
      </c>
      <c r="C147" s="280" t="s">
        <v>254</v>
      </c>
      <c r="D147" s="281" t="s">
        <v>255</v>
      </c>
      <c r="E147" s="259"/>
      <c r="F147" s="259"/>
      <c r="G147" s="259"/>
      <c r="H147" s="260"/>
      <c r="I147" s="259">
        <v>32604</v>
      </c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  <c r="T147" s="259"/>
      <c r="U147" s="259"/>
      <c r="V147" s="259"/>
      <c r="W147" s="259"/>
      <c r="X147" s="259"/>
      <c r="Y147" s="259"/>
      <c r="Z147" s="259"/>
      <c r="AA147" s="259"/>
      <c r="AB147" s="259"/>
      <c r="AC147" s="259"/>
      <c r="AD147" s="248"/>
      <c r="AE147" s="239">
        <f t="shared" si="53"/>
        <v>32604</v>
      </c>
      <c r="AF147" s="240">
        <f t="shared" si="54"/>
        <v>32604</v>
      </c>
      <c r="AG147" s="96"/>
      <c r="AH147" s="5">
        <f t="shared" si="58"/>
        <v>0</v>
      </c>
      <c r="AI147" s="41"/>
      <c r="AJ147" s="302"/>
      <c r="AK147" s="302"/>
      <c r="AL147" s="302"/>
      <c r="AM147" s="302"/>
      <c r="AN147" s="302"/>
      <c r="AO147" s="302"/>
      <c r="AP147" s="302"/>
      <c r="AQ147" s="302"/>
      <c r="AR147" s="302"/>
      <c r="AS147" s="302"/>
      <c r="AT147" s="302"/>
      <c r="AU147" s="308"/>
      <c r="AV147" s="254">
        <f t="shared" si="57"/>
        <v>0</v>
      </c>
      <c r="AW147" s="232">
        <f t="shared" si="56"/>
        <v>0</v>
      </c>
    </row>
    <row r="148" spans="1:49" s="21" customFormat="1" ht="38.25" x14ac:dyDescent="0.2">
      <c r="A148" s="178"/>
      <c r="B148" s="180"/>
      <c r="C148" s="298">
        <v>542</v>
      </c>
      <c r="D148" s="281" t="s">
        <v>256</v>
      </c>
      <c r="E148" s="259">
        <v>204500</v>
      </c>
      <c r="F148" s="259"/>
      <c r="G148" s="259"/>
      <c r="H148" s="260">
        <v>-66528</v>
      </c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48"/>
      <c r="AE148" s="239">
        <f t="shared" si="53"/>
        <v>137972</v>
      </c>
      <c r="AF148" s="240">
        <f t="shared" si="54"/>
        <v>137972</v>
      </c>
      <c r="AG148" s="96"/>
      <c r="AH148" s="5">
        <f t="shared" si="58"/>
        <v>0</v>
      </c>
      <c r="AI148" s="41"/>
      <c r="AJ148" s="302"/>
      <c r="AK148" s="302"/>
      <c r="AL148" s="302">
        <v>1500</v>
      </c>
      <c r="AM148" s="302"/>
      <c r="AN148" s="302"/>
      <c r="AO148" s="302"/>
      <c r="AP148" s="302"/>
      <c r="AQ148" s="302"/>
      <c r="AR148" s="302"/>
      <c r="AS148" s="302"/>
      <c r="AT148" s="302"/>
      <c r="AU148" s="308">
        <f>32604-1500</f>
        <v>31104</v>
      </c>
      <c r="AV148" s="254">
        <f t="shared" si="57"/>
        <v>32604</v>
      </c>
      <c r="AW148" s="232">
        <f t="shared" si="56"/>
        <v>0</v>
      </c>
    </row>
    <row r="149" spans="1:49" s="21" customFormat="1" ht="38.25" x14ac:dyDescent="0.2">
      <c r="A149" s="178"/>
      <c r="B149" s="180"/>
      <c r="C149" s="298">
        <v>543</v>
      </c>
      <c r="D149" s="281" t="s">
        <v>257</v>
      </c>
      <c r="E149" s="259">
        <v>194657</v>
      </c>
      <c r="F149" s="259"/>
      <c r="G149" s="259"/>
      <c r="H149" s="260">
        <v>-194657</v>
      </c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  <c r="T149" s="259"/>
      <c r="U149" s="259"/>
      <c r="V149" s="259"/>
      <c r="W149" s="259"/>
      <c r="X149" s="259"/>
      <c r="Y149" s="259"/>
      <c r="Z149" s="259"/>
      <c r="AA149" s="259"/>
      <c r="AB149" s="259"/>
      <c r="AC149" s="259"/>
      <c r="AD149" s="248"/>
      <c r="AE149" s="239">
        <f t="shared" si="53"/>
        <v>0</v>
      </c>
      <c r="AF149" s="240">
        <f t="shared" si="54"/>
        <v>0</v>
      </c>
      <c r="AG149" s="96"/>
      <c r="AH149" s="5">
        <f t="shared" si="58"/>
        <v>0</v>
      </c>
      <c r="AI149" s="41"/>
      <c r="AJ149" s="302"/>
      <c r="AK149" s="302"/>
      <c r="AL149" s="302">
        <v>200</v>
      </c>
      <c r="AM149" s="302"/>
      <c r="AN149" s="302">
        <v>40000</v>
      </c>
      <c r="AO149" s="302"/>
      <c r="AP149" s="302">
        <v>40000</v>
      </c>
      <c r="AQ149" s="302"/>
      <c r="AR149" s="302">
        <v>17972</v>
      </c>
      <c r="AS149" s="302"/>
      <c r="AT149" s="302"/>
      <c r="AU149" s="308">
        <v>39800</v>
      </c>
      <c r="AV149" s="254">
        <f t="shared" si="57"/>
        <v>137972</v>
      </c>
      <c r="AW149" s="232">
        <f t="shared" si="56"/>
        <v>0</v>
      </c>
    </row>
    <row r="150" spans="1:49" s="21" customFormat="1" ht="25.5" x14ac:dyDescent="0.2">
      <c r="A150" s="178"/>
      <c r="B150" s="180"/>
      <c r="C150" s="298">
        <v>544</v>
      </c>
      <c r="D150" s="281" t="s">
        <v>258</v>
      </c>
      <c r="E150" s="259">
        <v>409865</v>
      </c>
      <c r="F150" s="259"/>
      <c r="G150" s="259"/>
      <c r="H150" s="260">
        <v>-280316</v>
      </c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>
        <v>59391</v>
      </c>
      <c r="X150" s="259"/>
      <c r="Y150" s="259"/>
      <c r="Z150" s="259"/>
      <c r="AA150" s="259"/>
      <c r="AB150" s="259"/>
      <c r="AC150" s="259"/>
      <c r="AD150" s="248"/>
      <c r="AE150" s="239">
        <f t="shared" si="53"/>
        <v>188940</v>
      </c>
      <c r="AF150" s="240">
        <f t="shared" si="54"/>
        <v>188940</v>
      </c>
      <c r="AG150" s="96"/>
      <c r="AH150" s="5">
        <f t="shared" si="58"/>
        <v>0</v>
      </c>
      <c r="AI150" s="41"/>
      <c r="AJ150" s="302"/>
      <c r="AK150" s="302"/>
      <c r="AL150" s="302"/>
      <c r="AM150" s="302"/>
      <c r="AN150" s="302"/>
      <c r="AO150" s="302"/>
      <c r="AP150" s="302"/>
      <c r="AQ150" s="302"/>
      <c r="AR150" s="302"/>
      <c r="AS150" s="302"/>
      <c r="AT150" s="302"/>
      <c r="AU150" s="308"/>
      <c r="AV150" s="254">
        <f t="shared" si="57"/>
        <v>0</v>
      </c>
      <c r="AW150" s="232">
        <f t="shared" si="56"/>
        <v>0</v>
      </c>
    </row>
    <row r="151" spans="1:49" s="21" customFormat="1" ht="38.25" x14ac:dyDescent="0.2">
      <c r="A151" s="178"/>
      <c r="B151" s="180"/>
      <c r="C151" s="298">
        <v>545</v>
      </c>
      <c r="D151" s="281" t="s">
        <v>259</v>
      </c>
      <c r="E151" s="259">
        <v>1615306</v>
      </c>
      <c r="F151" s="259"/>
      <c r="G151" s="259"/>
      <c r="H151" s="260">
        <v>-1091234</v>
      </c>
      <c r="I151" s="259"/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  <c r="T151" s="259"/>
      <c r="U151" s="259">
        <v>1372501</v>
      </c>
      <c r="V151" s="259"/>
      <c r="W151" s="259"/>
      <c r="X151" s="259"/>
      <c r="Y151" s="259"/>
      <c r="Z151" s="259"/>
      <c r="AA151" s="259"/>
      <c r="AB151" s="259"/>
      <c r="AC151" s="259"/>
      <c r="AD151" s="248"/>
      <c r="AE151" s="239">
        <f t="shared" si="53"/>
        <v>1896573</v>
      </c>
      <c r="AF151" s="240">
        <f t="shared" si="54"/>
        <v>1896573</v>
      </c>
      <c r="AG151" s="96"/>
      <c r="AH151" s="5">
        <f t="shared" si="58"/>
        <v>0</v>
      </c>
      <c r="AI151" s="41"/>
      <c r="AJ151" s="302">
        <v>793</v>
      </c>
      <c r="AK151" s="302"/>
      <c r="AL151" s="302">
        <v>0</v>
      </c>
      <c r="AM151" s="302">
        <v>25000</v>
      </c>
      <c r="AN151" s="302">
        <v>25000</v>
      </c>
      <c r="AO151" s="302">
        <v>53756</v>
      </c>
      <c r="AP151" s="302">
        <v>25000</v>
      </c>
      <c r="AQ151" s="302"/>
      <c r="AR151" s="302"/>
      <c r="AS151" s="302"/>
      <c r="AT151" s="302"/>
      <c r="AU151" s="308"/>
      <c r="AV151" s="254">
        <f t="shared" si="57"/>
        <v>129549</v>
      </c>
      <c r="AW151" s="232">
        <f t="shared" si="56"/>
        <v>59391</v>
      </c>
    </row>
    <row r="152" spans="1:49" s="21" customFormat="1" ht="25.5" x14ac:dyDescent="0.2">
      <c r="A152" s="178"/>
      <c r="B152" s="180"/>
      <c r="C152" s="298">
        <v>546</v>
      </c>
      <c r="D152" s="281" t="s">
        <v>260</v>
      </c>
      <c r="E152" s="259">
        <v>40225</v>
      </c>
      <c r="F152" s="259"/>
      <c r="G152" s="259"/>
      <c r="H152" s="260">
        <v>15315</v>
      </c>
      <c r="I152" s="259"/>
      <c r="J152" s="259"/>
      <c r="K152" s="259"/>
      <c r="L152" s="259"/>
      <c r="M152" s="259"/>
      <c r="N152" s="259"/>
      <c r="O152" s="259"/>
      <c r="P152" s="259"/>
      <c r="Q152" s="259"/>
      <c r="R152" s="259"/>
      <c r="S152" s="259"/>
      <c r="T152" s="259"/>
      <c r="U152" s="259"/>
      <c r="V152" s="259"/>
      <c r="W152" s="259">
        <v>1000000</v>
      </c>
      <c r="X152" s="259"/>
      <c r="Y152" s="259"/>
      <c r="Z152" s="259"/>
      <c r="AA152" s="259"/>
      <c r="AB152" s="259"/>
      <c r="AC152" s="259"/>
      <c r="AD152" s="248"/>
      <c r="AE152" s="239">
        <f t="shared" si="53"/>
        <v>1055540</v>
      </c>
      <c r="AF152" s="240">
        <f t="shared" si="54"/>
        <v>1055540</v>
      </c>
      <c r="AG152" s="96"/>
      <c r="AH152" s="5">
        <f t="shared" si="58"/>
        <v>0</v>
      </c>
      <c r="AI152" s="41"/>
      <c r="AJ152" s="302">
        <v>10298</v>
      </c>
      <c r="AK152" s="302">
        <v>201350</v>
      </c>
      <c r="AL152" s="302">
        <v>212750</v>
      </c>
      <c r="AM152" s="302">
        <f>250000-212750</f>
        <v>37250</v>
      </c>
      <c r="AN152" s="302">
        <v>62424</v>
      </c>
      <c r="AO152" s="302"/>
      <c r="AP152" s="302"/>
      <c r="AQ152" s="302"/>
      <c r="AR152" s="302"/>
      <c r="AS152" s="302"/>
      <c r="AT152" s="302"/>
      <c r="AU152" s="308"/>
      <c r="AV152" s="254">
        <f t="shared" si="57"/>
        <v>524072</v>
      </c>
      <c r="AW152" s="232">
        <f t="shared" si="56"/>
        <v>1372501</v>
      </c>
    </row>
    <row r="153" spans="1:49" s="21" customFormat="1" ht="25.5" x14ac:dyDescent="0.2">
      <c r="A153" s="178"/>
      <c r="B153" s="180"/>
      <c r="C153" s="298">
        <v>547</v>
      </c>
      <c r="D153" s="281" t="s">
        <v>261</v>
      </c>
      <c r="E153" s="259">
        <v>221384</v>
      </c>
      <c r="F153" s="259"/>
      <c r="G153" s="259"/>
      <c r="H153" s="260">
        <v>1017779</v>
      </c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>
        <v>-788440</v>
      </c>
      <c r="V153" s="259"/>
      <c r="W153" s="259"/>
      <c r="X153" s="259"/>
      <c r="Y153" s="259"/>
      <c r="Z153" s="259"/>
      <c r="AA153" s="259"/>
      <c r="AB153" s="259"/>
      <c r="AC153" s="259"/>
      <c r="AD153" s="248"/>
      <c r="AE153" s="239">
        <f t="shared" si="53"/>
        <v>450723</v>
      </c>
      <c r="AF153" s="240">
        <f t="shared" si="54"/>
        <v>450723</v>
      </c>
      <c r="AG153" s="96"/>
      <c r="AH153" s="5">
        <f t="shared" si="58"/>
        <v>0</v>
      </c>
      <c r="AI153" s="41"/>
      <c r="AJ153" s="302"/>
      <c r="AK153" s="302">
        <v>1500</v>
      </c>
      <c r="AL153" s="302">
        <v>1500</v>
      </c>
      <c r="AM153" s="302"/>
      <c r="AN153" s="302"/>
      <c r="AO153" s="302">
        <v>38725</v>
      </c>
      <c r="AP153" s="302"/>
      <c r="AQ153" s="302"/>
      <c r="AR153" s="302"/>
      <c r="AS153" s="302"/>
      <c r="AT153" s="302"/>
      <c r="AU153" s="308">
        <v>13815</v>
      </c>
      <c r="AV153" s="254">
        <f t="shared" si="57"/>
        <v>55540</v>
      </c>
      <c r="AW153" s="232">
        <f t="shared" si="56"/>
        <v>1000000</v>
      </c>
    </row>
    <row r="154" spans="1:49" s="21" customFormat="1" ht="25.5" x14ac:dyDescent="0.2">
      <c r="A154" s="178"/>
      <c r="B154" s="180"/>
      <c r="C154" s="298">
        <v>548</v>
      </c>
      <c r="D154" s="281" t="s">
        <v>262</v>
      </c>
      <c r="E154" s="259">
        <v>1310855</v>
      </c>
      <c r="F154" s="259"/>
      <c r="G154" s="259"/>
      <c r="H154" s="260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  <c r="T154" s="259"/>
      <c r="U154" s="259">
        <v>-273266</v>
      </c>
      <c r="V154" s="259"/>
      <c r="W154" s="259"/>
      <c r="X154" s="259"/>
      <c r="Y154" s="259"/>
      <c r="Z154" s="259"/>
      <c r="AA154" s="259"/>
      <c r="AB154" s="259"/>
      <c r="AC154" s="259"/>
      <c r="AD154" s="248"/>
      <c r="AE154" s="239">
        <f t="shared" si="53"/>
        <v>1037589</v>
      </c>
      <c r="AF154" s="240">
        <f t="shared" si="54"/>
        <v>1037589</v>
      </c>
      <c r="AG154" s="96"/>
      <c r="AH154" s="5">
        <f t="shared" si="58"/>
        <v>0</v>
      </c>
      <c r="AI154" s="41"/>
      <c r="AJ154" s="302"/>
      <c r="AK154" s="302">
        <v>1500</v>
      </c>
      <c r="AL154" s="302"/>
      <c r="AM154" s="302">
        <v>50000</v>
      </c>
      <c r="AN154" s="302">
        <v>50000</v>
      </c>
      <c r="AO154" s="302"/>
      <c r="AP154" s="302">
        <v>50000</v>
      </c>
      <c r="AQ154" s="302"/>
      <c r="AR154" s="302"/>
      <c r="AS154" s="302">
        <v>71384</v>
      </c>
      <c r="AT154" s="302"/>
      <c r="AU154" s="308">
        <v>1016279</v>
      </c>
      <c r="AV154" s="254">
        <f t="shared" si="57"/>
        <v>1239163</v>
      </c>
      <c r="AW154" s="232">
        <f t="shared" si="56"/>
        <v>-788440</v>
      </c>
    </row>
    <row r="155" spans="1:49" s="21" customFormat="1" x14ac:dyDescent="0.2">
      <c r="A155" s="178"/>
      <c r="B155" s="180"/>
      <c r="C155" s="298">
        <v>549</v>
      </c>
      <c r="D155" s="305" t="s">
        <v>263</v>
      </c>
      <c r="E155" s="259">
        <v>74667</v>
      </c>
      <c r="F155" s="259"/>
      <c r="G155" s="259"/>
      <c r="H155" s="260">
        <v>-38667</v>
      </c>
      <c r="I155" s="259"/>
      <c r="J155" s="259"/>
      <c r="K155" s="259"/>
      <c r="L155" s="259"/>
      <c r="M155" s="259"/>
      <c r="N155" s="259"/>
      <c r="O155" s="259"/>
      <c r="P155" s="259"/>
      <c r="Q155" s="259"/>
      <c r="R155" s="259"/>
      <c r="S155" s="259"/>
      <c r="T155" s="259"/>
      <c r="U155" s="259">
        <v>311</v>
      </c>
      <c r="V155" s="259"/>
      <c r="W155" s="259"/>
      <c r="X155" s="259"/>
      <c r="Y155" s="259"/>
      <c r="Z155" s="259"/>
      <c r="AA155" s="259"/>
      <c r="AB155" s="259"/>
      <c r="AC155" s="259"/>
      <c r="AD155" s="248"/>
      <c r="AE155" s="239">
        <f t="shared" si="53"/>
        <v>36311</v>
      </c>
      <c r="AF155" s="240">
        <f t="shared" si="54"/>
        <v>36311</v>
      </c>
      <c r="AG155" s="96"/>
      <c r="AH155" s="5">
        <f t="shared" si="58"/>
        <v>0</v>
      </c>
      <c r="AI155" s="41"/>
      <c r="AJ155" s="302">
        <v>623</v>
      </c>
      <c r="AK155" s="302">
        <v>2900</v>
      </c>
      <c r="AL155" s="302">
        <v>2900</v>
      </c>
      <c r="AM155" s="302">
        <f>500000-2900</f>
        <v>497100</v>
      </c>
      <c r="AN155" s="302"/>
      <c r="AO155" s="302"/>
      <c r="AP155" s="302"/>
      <c r="AQ155" s="302"/>
      <c r="AR155" s="302"/>
      <c r="AS155" s="302"/>
      <c r="AT155" s="302"/>
      <c r="AU155" s="308">
        <v>807332</v>
      </c>
      <c r="AV155" s="254">
        <f t="shared" si="57"/>
        <v>1310855</v>
      </c>
      <c r="AW155" s="232">
        <f t="shared" si="56"/>
        <v>-273266</v>
      </c>
    </row>
    <row r="156" spans="1:49" s="21" customFormat="1" ht="38.25" x14ac:dyDescent="0.2">
      <c r="A156" s="178"/>
      <c r="B156" s="180"/>
      <c r="C156" s="280">
        <v>550</v>
      </c>
      <c r="D156" s="281" t="s">
        <v>264</v>
      </c>
      <c r="E156" s="259">
        <v>57805</v>
      </c>
      <c r="F156" s="259"/>
      <c r="G156" s="259"/>
      <c r="H156" s="260">
        <v>-14429</v>
      </c>
      <c r="I156" s="259"/>
      <c r="J156" s="259"/>
      <c r="K156" s="259"/>
      <c r="L156" s="259"/>
      <c r="M156" s="259"/>
      <c r="N156" s="259"/>
      <c r="O156" s="259"/>
      <c r="P156" s="259"/>
      <c r="Q156" s="259"/>
      <c r="R156" s="259"/>
      <c r="S156" s="259"/>
      <c r="T156" s="259"/>
      <c r="U156" s="259"/>
      <c r="V156" s="259"/>
      <c r="W156" s="259"/>
      <c r="X156" s="259"/>
      <c r="Y156" s="259"/>
      <c r="Z156" s="259"/>
      <c r="AA156" s="259"/>
      <c r="AB156" s="259"/>
      <c r="AC156" s="259"/>
      <c r="AD156" s="248"/>
      <c r="AE156" s="239">
        <f t="shared" si="53"/>
        <v>43376</v>
      </c>
      <c r="AF156" s="240">
        <f t="shared" si="54"/>
        <v>43376</v>
      </c>
      <c r="AG156" s="96"/>
      <c r="AH156" s="5">
        <f t="shared" si="58"/>
        <v>0</v>
      </c>
      <c r="AI156" s="41"/>
      <c r="AJ156" s="302"/>
      <c r="AK156" s="302">
        <v>3600</v>
      </c>
      <c r="AL156" s="302">
        <v>3600</v>
      </c>
      <c r="AM156" s="302">
        <f>32400-3600</f>
        <v>28800</v>
      </c>
      <c r="AN156" s="302"/>
      <c r="AO156" s="302"/>
      <c r="AP156" s="302"/>
      <c r="AQ156" s="302"/>
      <c r="AR156" s="302"/>
      <c r="AS156" s="302"/>
      <c r="AT156" s="302"/>
      <c r="AU156" s="308"/>
      <c r="AV156" s="254">
        <f t="shared" si="57"/>
        <v>36000</v>
      </c>
      <c r="AW156" s="232">
        <f t="shared" si="56"/>
        <v>311</v>
      </c>
    </row>
    <row r="157" spans="1:49" s="21" customFormat="1" ht="38.25" x14ac:dyDescent="0.2">
      <c r="A157" s="178"/>
      <c r="B157" s="180"/>
      <c r="C157" s="280">
        <v>551</v>
      </c>
      <c r="D157" s="281" t="s">
        <v>265</v>
      </c>
      <c r="E157" s="259">
        <v>24233</v>
      </c>
      <c r="F157" s="259"/>
      <c r="G157" s="259"/>
      <c r="H157" s="260">
        <v>428708</v>
      </c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59"/>
      <c r="V157" s="259"/>
      <c r="W157" s="259"/>
      <c r="X157" s="259"/>
      <c r="Y157" s="259"/>
      <c r="Z157" s="259"/>
      <c r="AA157" s="259"/>
      <c r="AB157" s="259"/>
      <c r="AC157" s="259"/>
      <c r="AD157" s="248"/>
      <c r="AE157" s="239">
        <f t="shared" si="53"/>
        <v>452941</v>
      </c>
      <c r="AF157" s="240">
        <f t="shared" si="54"/>
        <v>452941</v>
      </c>
      <c r="AG157" s="96"/>
      <c r="AH157" s="5">
        <f t="shared" si="58"/>
        <v>0</v>
      </c>
      <c r="AI157" s="41"/>
      <c r="AJ157" s="302">
        <v>641</v>
      </c>
      <c r="AK157" s="302">
        <v>578</v>
      </c>
      <c r="AL157" s="302">
        <v>2588</v>
      </c>
      <c r="AM157" s="302"/>
      <c r="AN157" s="302"/>
      <c r="AO157" s="302">
        <v>22412</v>
      </c>
      <c r="AP157" s="302"/>
      <c r="AQ157" s="302"/>
      <c r="AR157" s="302"/>
      <c r="AS157" s="302"/>
      <c r="AT157" s="302"/>
      <c r="AU157" s="308">
        <v>17157</v>
      </c>
      <c r="AV157" s="254">
        <f t="shared" si="57"/>
        <v>43376</v>
      </c>
      <c r="AW157" s="232">
        <f t="shared" si="56"/>
        <v>0</v>
      </c>
    </row>
    <row r="158" spans="1:49" s="21" customFormat="1" ht="38.25" x14ac:dyDescent="0.2">
      <c r="A158" s="178"/>
      <c r="B158" s="180"/>
      <c r="C158" s="280">
        <v>552</v>
      </c>
      <c r="D158" s="259" t="s">
        <v>266</v>
      </c>
      <c r="E158" s="259">
        <v>33920</v>
      </c>
      <c r="F158" s="259"/>
      <c r="G158" s="259"/>
      <c r="H158" s="260">
        <v>134527</v>
      </c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48"/>
      <c r="AE158" s="239">
        <f t="shared" si="53"/>
        <v>168447</v>
      </c>
      <c r="AF158" s="240">
        <f t="shared" si="54"/>
        <v>168447</v>
      </c>
      <c r="AG158" s="96"/>
      <c r="AH158" s="5">
        <f t="shared" si="58"/>
        <v>0</v>
      </c>
      <c r="AI158" s="41"/>
      <c r="AJ158" s="302">
        <v>3924</v>
      </c>
      <c r="AK158" s="302">
        <v>20309</v>
      </c>
      <c r="AL158" s="302">
        <v>32210</v>
      </c>
      <c r="AM158" s="302"/>
      <c r="AN158" s="302"/>
      <c r="AO158" s="302"/>
      <c r="AP158" s="302"/>
      <c r="AQ158" s="302"/>
      <c r="AR158" s="302"/>
      <c r="AS158" s="302"/>
      <c r="AT158" s="302"/>
      <c r="AU158" s="308">
        <f>428708-32210</f>
        <v>396498</v>
      </c>
      <c r="AV158" s="254">
        <f t="shared" si="57"/>
        <v>452941</v>
      </c>
      <c r="AW158" s="232">
        <f t="shared" si="56"/>
        <v>0</v>
      </c>
    </row>
    <row r="159" spans="1:49" s="21" customFormat="1" ht="38.25" x14ac:dyDescent="0.2">
      <c r="A159" s="178"/>
      <c r="B159" s="180"/>
      <c r="C159" s="280">
        <v>553</v>
      </c>
      <c r="D159" s="309" t="s">
        <v>267</v>
      </c>
      <c r="E159" s="259">
        <v>129152</v>
      </c>
      <c r="F159" s="259"/>
      <c r="G159" s="259"/>
      <c r="H159" s="260">
        <v>-52251</v>
      </c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>
        <v>85161</v>
      </c>
      <c r="V159" s="259"/>
      <c r="W159" s="259"/>
      <c r="X159" s="259"/>
      <c r="Y159" s="259"/>
      <c r="Z159" s="259"/>
      <c r="AA159" s="259"/>
      <c r="AB159" s="259"/>
      <c r="AC159" s="259"/>
      <c r="AD159" s="248"/>
      <c r="AE159" s="239">
        <f t="shared" si="53"/>
        <v>162062</v>
      </c>
      <c r="AF159" s="240">
        <f t="shared" si="54"/>
        <v>162062</v>
      </c>
      <c r="AG159" s="96"/>
      <c r="AH159" s="5">
        <f t="shared" si="58"/>
        <v>0</v>
      </c>
      <c r="AI159" s="41"/>
      <c r="AJ159" s="302">
        <v>28849</v>
      </c>
      <c r="AK159" s="302">
        <v>15003</v>
      </c>
      <c r="AL159" s="302">
        <v>19511</v>
      </c>
      <c r="AM159" s="302"/>
      <c r="AN159" s="302">
        <v>33920</v>
      </c>
      <c r="AO159" s="302"/>
      <c r="AP159" s="302"/>
      <c r="AQ159" s="302"/>
      <c r="AR159" s="302"/>
      <c r="AS159" s="302"/>
      <c r="AT159" s="302"/>
      <c r="AU159" s="308">
        <f>90675-19511</f>
        <v>71164</v>
      </c>
      <c r="AV159" s="254">
        <f t="shared" si="57"/>
        <v>168447</v>
      </c>
      <c r="AW159" s="232">
        <f t="shared" si="56"/>
        <v>0</v>
      </c>
    </row>
    <row r="160" spans="1:49" s="21" customFormat="1" ht="38.25" x14ac:dyDescent="0.2">
      <c r="A160" s="178"/>
      <c r="B160" s="180"/>
      <c r="C160" s="280">
        <v>554</v>
      </c>
      <c r="D160" s="281" t="s">
        <v>268</v>
      </c>
      <c r="E160" s="259"/>
      <c r="F160" s="259"/>
      <c r="G160" s="259"/>
      <c r="H160" s="260"/>
      <c r="I160" s="259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310"/>
      <c r="AE160" s="239">
        <f t="shared" si="53"/>
        <v>0</v>
      </c>
      <c r="AF160" s="240">
        <f t="shared" si="54"/>
        <v>0</v>
      </c>
      <c r="AG160" s="96"/>
      <c r="AH160" s="5">
        <f t="shared" si="58"/>
        <v>0</v>
      </c>
      <c r="AI160" s="41"/>
      <c r="AJ160" s="302"/>
      <c r="AK160" s="302"/>
      <c r="AL160" s="302"/>
      <c r="AM160" s="302"/>
      <c r="AN160" s="302">
        <v>76901</v>
      </c>
      <c r="AO160" s="302"/>
      <c r="AP160" s="302"/>
      <c r="AQ160" s="302"/>
      <c r="AR160" s="302"/>
      <c r="AS160" s="302"/>
      <c r="AT160" s="302"/>
      <c r="AU160" s="308"/>
      <c r="AV160" s="254">
        <f t="shared" si="57"/>
        <v>76901</v>
      </c>
      <c r="AW160" s="232">
        <f t="shared" si="56"/>
        <v>85161</v>
      </c>
    </row>
    <row r="161" spans="1:50" s="21" customFormat="1" ht="38.25" x14ac:dyDescent="0.2">
      <c r="A161" s="178"/>
      <c r="B161" s="180"/>
      <c r="C161" s="280">
        <v>555</v>
      </c>
      <c r="D161" s="281" t="s">
        <v>269</v>
      </c>
      <c r="E161" s="259">
        <v>301993</v>
      </c>
      <c r="F161" s="259"/>
      <c r="G161" s="259"/>
      <c r="H161" s="260">
        <v>-301993</v>
      </c>
      <c r="I161" s="259"/>
      <c r="J161" s="259"/>
      <c r="K161" s="259"/>
      <c r="L161" s="259"/>
      <c r="M161" s="259"/>
      <c r="N161" s="259"/>
      <c r="O161" s="259"/>
      <c r="P161" s="259"/>
      <c r="Q161" s="259"/>
      <c r="R161" s="259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310"/>
      <c r="AE161" s="239">
        <f t="shared" ref="AE161:AE207" si="59">SUM(E161:U161)+W161+X161+Y161+Z161+AB161+AC161</f>
        <v>0</v>
      </c>
      <c r="AF161" s="240">
        <f t="shared" ref="AF161:AF207" si="60">SUM(E161:AD161)</f>
        <v>0</v>
      </c>
      <c r="AG161" s="96"/>
      <c r="AH161" s="5">
        <f t="shared" si="58"/>
        <v>0</v>
      </c>
      <c r="AI161" s="41"/>
      <c r="AJ161" s="302"/>
      <c r="AK161" s="302"/>
      <c r="AL161" s="302"/>
      <c r="AM161" s="302"/>
      <c r="AN161" s="302"/>
      <c r="AO161" s="302"/>
      <c r="AP161" s="302"/>
      <c r="AQ161" s="302"/>
      <c r="AR161" s="302"/>
      <c r="AS161" s="302"/>
      <c r="AT161" s="302"/>
      <c r="AU161" s="308"/>
      <c r="AV161" s="254">
        <f t="shared" si="57"/>
        <v>0</v>
      </c>
      <c r="AW161" s="232">
        <f t="shared" si="56"/>
        <v>0</v>
      </c>
    </row>
    <row r="162" spans="1:50" s="21" customFormat="1" ht="25.5" x14ac:dyDescent="0.2">
      <c r="A162" s="178"/>
      <c r="B162" s="180"/>
      <c r="C162" s="280" t="s">
        <v>270</v>
      </c>
      <c r="D162" s="281" t="s">
        <v>271</v>
      </c>
      <c r="E162" s="259">
        <v>47035</v>
      </c>
      <c r="F162" s="259"/>
      <c r="G162" s="259"/>
      <c r="H162" s="260">
        <v>-24669</v>
      </c>
      <c r="I162" s="259"/>
      <c r="J162" s="259"/>
      <c r="K162" s="259"/>
      <c r="L162" s="259"/>
      <c r="M162" s="259"/>
      <c r="N162" s="259"/>
      <c r="O162" s="259"/>
      <c r="P162" s="259"/>
      <c r="Q162" s="259"/>
      <c r="R162" s="259"/>
      <c r="S162" s="259"/>
      <c r="T162" s="259"/>
      <c r="U162" s="259"/>
      <c r="V162" s="259"/>
      <c r="W162" s="259"/>
      <c r="X162" s="259"/>
      <c r="Y162" s="259"/>
      <c r="Z162" s="259"/>
      <c r="AA162" s="259"/>
      <c r="AB162" s="259"/>
      <c r="AC162" s="259"/>
      <c r="AD162" s="310"/>
      <c r="AE162" s="239">
        <f t="shared" si="59"/>
        <v>22366</v>
      </c>
      <c r="AF162" s="240">
        <f t="shared" si="60"/>
        <v>22366</v>
      </c>
      <c r="AG162" s="96"/>
      <c r="AH162" s="5">
        <f t="shared" si="58"/>
        <v>0</v>
      </c>
      <c r="AI162" s="41"/>
      <c r="AJ162" s="302"/>
      <c r="AK162" s="302"/>
      <c r="AL162" s="302"/>
      <c r="AM162" s="302"/>
      <c r="AN162" s="302"/>
      <c r="AO162" s="302"/>
      <c r="AP162" s="302"/>
      <c r="AQ162" s="302"/>
      <c r="AR162" s="302"/>
      <c r="AS162" s="302"/>
      <c r="AT162" s="302"/>
      <c r="AU162" s="308"/>
      <c r="AV162" s="254">
        <f t="shared" si="57"/>
        <v>0</v>
      </c>
      <c r="AW162" s="232">
        <f t="shared" ref="AW162:AW179" si="61">+AF161-AV162</f>
        <v>0</v>
      </c>
    </row>
    <row r="163" spans="1:50" s="21" customFormat="1" ht="25.5" x14ac:dyDescent="0.2">
      <c r="A163" s="178"/>
      <c r="B163" s="180"/>
      <c r="C163" s="280">
        <v>557</v>
      </c>
      <c r="D163" s="281" t="s">
        <v>272</v>
      </c>
      <c r="E163" s="259">
        <v>198232</v>
      </c>
      <c r="F163" s="259"/>
      <c r="G163" s="259"/>
      <c r="H163" s="260">
        <v>-44200</v>
      </c>
      <c r="I163" s="259"/>
      <c r="J163" s="259"/>
      <c r="K163" s="259"/>
      <c r="L163" s="259"/>
      <c r="M163" s="259"/>
      <c r="N163" s="259"/>
      <c r="O163" s="259"/>
      <c r="P163" s="259"/>
      <c r="Q163" s="259"/>
      <c r="R163" s="259"/>
      <c r="S163" s="259"/>
      <c r="T163" s="259"/>
      <c r="U163" s="259"/>
      <c r="V163" s="259"/>
      <c r="W163" s="259">
        <v>72541</v>
      </c>
      <c r="X163" s="259"/>
      <c r="Y163" s="259"/>
      <c r="Z163" s="259"/>
      <c r="AA163" s="259"/>
      <c r="AB163" s="259"/>
      <c r="AC163" s="259"/>
      <c r="AD163" s="310"/>
      <c r="AE163" s="239">
        <f t="shared" si="59"/>
        <v>226573</v>
      </c>
      <c r="AF163" s="240">
        <f t="shared" si="60"/>
        <v>226573</v>
      </c>
      <c r="AG163" s="96"/>
      <c r="AH163" s="5">
        <f t="shared" si="58"/>
        <v>0</v>
      </c>
      <c r="AI163" s="41"/>
      <c r="AJ163" s="302">
        <v>13203</v>
      </c>
      <c r="AK163" s="302">
        <v>3000</v>
      </c>
      <c r="AL163" s="302"/>
      <c r="AM163" s="302"/>
      <c r="AN163" s="302">
        <v>6162</v>
      </c>
      <c r="AO163" s="302"/>
      <c r="AP163" s="302"/>
      <c r="AQ163" s="302"/>
      <c r="AR163" s="302"/>
      <c r="AS163" s="302"/>
      <c r="AT163" s="302"/>
      <c r="AU163" s="308">
        <v>1</v>
      </c>
      <c r="AV163" s="254">
        <f t="shared" ref="AV163:AV179" si="62">SUM(AJ163:AU163)</f>
        <v>22366</v>
      </c>
      <c r="AW163" s="232">
        <f t="shared" si="61"/>
        <v>0</v>
      </c>
    </row>
    <row r="164" spans="1:50" s="21" customFormat="1" ht="25.5" x14ac:dyDescent="0.2">
      <c r="A164" s="178"/>
      <c r="B164" s="180"/>
      <c r="C164" s="280">
        <v>558</v>
      </c>
      <c r="D164" s="281" t="s">
        <v>273</v>
      </c>
      <c r="E164" s="259"/>
      <c r="F164" s="259"/>
      <c r="G164" s="259"/>
      <c r="H164" s="260">
        <v>8150</v>
      </c>
      <c r="I164" s="259"/>
      <c r="J164" s="259"/>
      <c r="K164" s="259"/>
      <c r="L164" s="259"/>
      <c r="M164" s="259"/>
      <c r="N164" s="259"/>
      <c r="O164" s="259"/>
      <c r="P164" s="259"/>
      <c r="Q164" s="259"/>
      <c r="R164" s="259"/>
      <c r="S164" s="259"/>
      <c r="T164" s="259"/>
      <c r="U164" s="259"/>
      <c r="V164" s="259"/>
      <c r="W164" s="259"/>
      <c r="X164" s="259"/>
      <c r="Y164" s="259"/>
      <c r="Z164" s="259"/>
      <c r="AA164" s="259"/>
      <c r="AB164" s="259"/>
      <c r="AC164" s="259"/>
      <c r="AD164" s="310"/>
      <c r="AE164" s="239">
        <f t="shared" si="59"/>
        <v>8150</v>
      </c>
      <c r="AF164" s="240">
        <f t="shared" si="60"/>
        <v>8150</v>
      </c>
      <c r="AG164" s="96"/>
      <c r="AH164" s="5">
        <f t="shared" si="58"/>
        <v>0</v>
      </c>
      <c r="AI164" s="41"/>
      <c r="AJ164" s="302">
        <v>2752</v>
      </c>
      <c r="AK164" s="302">
        <v>10466</v>
      </c>
      <c r="AL164" s="302">
        <v>11772</v>
      </c>
      <c r="AM164" s="302">
        <v>10000</v>
      </c>
      <c r="AN164" s="302">
        <v>10000</v>
      </c>
      <c r="AO164" s="302">
        <v>55000</v>
      </c>
      <c r="AP164" s="302">
        <v>10000</v>
      </c>
      <c r="AQ164" s="302">
        <v>10000</v>
      </c>
      <c r="AR164" s="302">
        <f>35000-1772</f>
        <v>33228</v>
      </c>
      <c r="AS164" s="302"/>
      <c r="AT164" s="302"/>
      <c r="AU164" s="308">
        <v>814</v>
      </c>
      <c r="AV164" s="254">
        <f t="shared" si="62"/>
        <v>154032</v>
      </c>
      <c r="AW164" s="232">
        <f t="shared" si="61"/>
        <v>72541</v>
      </c>
    </row>
    <row r="165" spans="1:50" s="21" customFormat="1" ht="25.5" x14ac:dyDescent="0.2">
      <c r="A165" s="178"/>
      <c r="B165" s="180"/>
      <c r="C165" s="280">
        <v>559</v>
      </c>
      <c r="D165" s="281" t="s">
        <v>274</v>
      </c>
      <c r="E165" s="259">
        <v>68881</v>
      </c>
      <c r="F165" s="259"/>
      <c r="G165" s="259"/>
      <c r="H165" s="260">
        <v>124825</v>
      </c>
      <c r="I165" s="259"/>
      <c r="J165" s="259"/>
      <c r="K165" s="259"/>
      <c r="L165" s="259"/>
      <c r="M165" s="259"/>
      <c r="N165" s="259"/>
      <c r="O165" s="259"/>
      <c r="P165" s="259"/>
      <c r="Q165" s="259"/>
      <c r="R165" s="259"/>
      <c r="S165" s="259"/>
      <c r="T165" s="259"/>
      <c r="U165" s="259">
        <v>206294</v>
      </c>
      <c r="V165" s="259"/>
      <c r="W165" s="259"/>
      <c r="X165" s="259"/>
      <c r="Y165" s="259"/>
      <c r="Z165" s="259"/>
      <c r="AA165" s="259"/>
      <c r="AB165" s="259"/>
      <c r="AC165" s="259"/>
      <c r="AD165" s="310"/>
      <c r="AE165" s="239">
        <f t="shared" si="59"/>
        <v>400000</v>
      </c>
      <c r="AF165" s="240">
        <f t="shared" si="60"/>
        <v>400000</v>
      </c>
      <c r="AG165" s="96"/>
      <c r="AH165" s="5">
        <f t="shared" si="58"/>
        <v>0</v>
      </c>
      <c r="AI165" s="41"/>
      <c r="AJ165" s="302"/>
      <c r="AK165" s="302"/>
      <c r="AL165" s="302">
        <v>1937</v>
      </c>
      <c r="AM165" s="302"/>
      <c r="AN165" s="302"/>
      <c r="AO165" s="302"/>
      <c r="AP165" s="302"/>
      <c r="AQ165" s="302"/>
      <c r="AR165" s="302"/>
      <c r="AS165" s="302"/>
      <c r="AT165" s="302"/>
      <c r="AU165" s="308">
        <f>8150-1937</f>
        <v>6213</v>
      </c>
      <c r="AV165" s="254">
        <f t="shared" si="62"/>
        <v>8150</v>
      </c>
      <c r="AW165" s="232">
        <f t="shared" si="61"/>
        <v>0</v>
      </c>
      <c r="AX165" s="255">
        <f>+AH165-AF165</f>
        <v>-400000</v>
      </c>
    </row>
    <row r="166" spans="1:50" s="21" customFormat="1" ht="25.5" x14ac:dyDescent="0.2">
      <c r="A166" s="178"/>
      <c r="B166" s="180"/>
      <c r="C166" s="280">
        <v>562</v>
      </c>
      <c r="D166" s="281" t="s">
        <v>275</v>
      </c>
      <c r="E166" s="259">
        <v>283642</v>
      </c>
      <c r="F166" s="259"/>
      <c r="G166" s="259"/>
      <c r="H166" s="260">
        <v>-245322</v>
      </c>
      <c r="I166" s="259"/>
      <c r="J166" s="259"/>
      <c r="K166" s="259"/>
      <c r="L166" s="259"/>
      <c r="M166" s="259"/>
      <c r="N166" s="259"/>
      <c r="O166" s="259"/>
      <c r="P166" s="259"/>
      <c r="Q166" s="259"/>
      <c r="R166" s="259"/>
      <c r="S166" s="259"/>
      <c r="T166" s="259"/>
      <c r="U166" s="259"/>
      <c r="V166" s="259"/>
      <c r="W166" s="259"/>
      <c r="X166" s="259"/>
      <c r="Y166" s="259"/>
      <c r="Z166" s="259"/>
      <c r="AA166" s="259"/>
      <c r="AB166" s="259"/>
      <c r="AC166" s="259"/>
      <c r="AD166" s="310"/>
      <c r="AE166" s="239">
        <f t="shared" si="59"/>
        <v>38320</v>
      </c>
      <c r="AF166" s="240">
        <f t="shared" si="60"/>
        <v>38320</v>
      </c>
      <c r="AG166" s="96"/>
      <c r="AH166" s="5">
        <f t="shared" si="58"/>
        <v>0</v>
      </c>
      <c r="AI166" s="41"/>
      <c r="AJ166" s="302"/>
      <c r="AK166" s="302"/>
      <c r="AL166" s="302"/>
      <c r="AM166" s="302"/>
      <c r="AN166" s="302">
        <v>68881</v>
      </c>
      <c r="AO166" s="302"/>
      <c r="AP166" s="302"/>
      <c r="AQ166" s="302"/>
      <c r="AR166" s="302"/>
      <c r="AS166" s="302"/>
      <c r="AT166" s="302"/>
      <c r="AU166" s="308">
        <v>124825</v>
      </c>
      <c r="AV166" s="254">
        <f t="shared" si="62"/>
        <v>193706</v>
      </c>
      <c r="AW166" s="232">
        <f t="shared" si="61"/>
        <v>206294</v>
      </c>
    </row>
    <row r="167" spans="1:50" s="21" customFormat="1" ht="25.5" x14ac:dyDescent="0.2">
      <c r="A167" s="178"/>
      <c r="B167" s="180"/>
      <c r="C167" s="280">
        <v>563</v>
      </c>
      <c r="D167" s="281" t="s">
        <v>276</v>
      </c>
      <c r="E167" s="259">
        <v>219531</v>
      </c>
      <c r="F167" s="259"/>
      <c r="G167" s="259"/>
      <c r="H167" s="260">
        <v>-219531</v>
      </c>
      <c r="I167" s="259"/>
      <c r="J167" s="259"/>
      <c r="K167" s="259"/>
      <c r="L167" s="259"/>
      <c r="M167" s="259"/>
      <c r="N167" s="259"/>
      <c r="O167" s="259"/>
      <c r="P167" s="259"/>
      <c r="Q167" s="259"/>
      <c r="R167" s="259"/>
      <c r="S167" s="259"/>
      <c r="T167" s="259"/>
      <c r="U167" s="259"/>
      <c r="V167" s="259"/>
      <c r="W167" s="259"/>
      <c r="X167" s="259"/>
      <c r="Y167" s="259"/>
      <c r="Z167" s="259"/>
      <c r="AA167" s="259"/>
      <c r="AB167" s="259"/>
      <c r="AC167" s="259"/>
      <c r="AD167" s="310"/>
      <c r="AE167" s="239">
        <f t="shared" si="59"/>
        <v>0</v>
      </c>
      <c r="AF167" s="240">
        <f t="shared" si="60"/>
        <v>0</v>
      </c>
      <c r="AG167" s="96"/>
      <c r="AH167" s="5">
        <f t="shared" si="58"/>
        <v>0</v>
      </c>
      <c r="AI167" s="41"/>
      <c r="AJ167" s="302"/>
      <c r="AK167" s="302">
        <v>1100</v>
      </c>
      <c r="AL167" s="302">
        <v>1100</v>
      </c>
      <c r="AM167" s="302"/>
      <c r="AN167" s="302"/>
      <c r="AO167" s="302"/>
      <c r="AP167" s="302"/>
      <c r="AQ167" s="302"/>
      <c r="AR167" s="302"/>
      <c r="AS167" s="302"/>
      <c r="AT167" s="302"/>
      <c r="AU167" s="303">
        <v>36120</v>
      </c>
      <c r="AV167" s="254">
        <f t="shared" si="62"/>
        <v>38320</v>
      </c>
      <c r="AW167" s="232">
        <f t="shared" si="61"/>
        <v>0</v>
      </c>
    </row>
    <row r="168" spans="1:50" s="21" customFormat="1" ht="38.25" x14ac:dyDescent="0.2">
      <c r="A168" s="178"/>
      <c r="B168" s="180"/>
      <c r="C168" s="280">
        <v>564</v>
      </c>
      <c r="D168" s="281" t="s">
        <v>277</v>
      </c>
      <c r="E168" s="259">
        <v>4874</v>
      </c>
      <c r="F168" s="259"/>
      <c r="G168" s="259"/>
      <c r="H168" s="260">
        <v>10626</v>
      </c>
      <c r="I168" s="259"/>
      <c r="J168" s="259"/>
      <c r="K168" s="259"/>
      <c r="L168" s="259"/>
      <c r="M168" s="259"/>
      <c r="N168" s="259"/>
      <c r="O168" s="259"/>
      <c r="P168" s="259"/>
      <c r="Q168" s="259"/>
      <c r="R168" s="259"/>
      <c r="S168" s="259"/>
      <c r="T168" s="259"/>
      <c r="U168" s="259"/>
      <c r="V168" s="259"/>
      <c r="W168" s="259"/>
      <c r="X168" s="259"/>
      <c r="Y168" s="259"/>
      <c r="Z168" s="259"/>
      <c r="AA168" s="259"/>
      <c r="AB168" s="259"/>
      <c r="AC168" s="259"/>
      <c r="AD168" s="310"/>
      <c r="AE168" s="239">
        <f t="shared" si="59"/>
        <v>15500</v>
      </c>
      <c r="AF168" s="240">
        <f t="shared" si="60"/>
        <v>15500</v>
      </c>
      <c r="AG168" s="96"/>
      <c r="AH168" s="5">
        <f t="shared" si="58"/>
        <v>0</v>
      </c>
      <c r="AI168" s="41"/>
      <c r="AJ168" s="302"/>
      <c r="AK168" s="302"/>
      <c r="AL168" s="302"/>
      <c r="AM168" s="302"/>
      <c r="AN168" s="302"/>
      <c r="AO168" s="302"/>
      <c r="AP168" s="302"/>
      <c r="AQ168" s="302"/>
      <c r="AR168" s="302"/>
      <c r="AS168" s="302"/>
      <c r="AT168" s="302"/>
      <c r="AU168" s="303"/>
      <c r="AV168" s="254">
        <f t="shared" si="62"/>
        <v>0</v>
      </c>
      <c r="AW168" s="232">
        <f t="shared" si="61"/>
        <v>0</v>
      </c>
    </row>
    <row r="169" spans="1:50" s="21" customFormat="1" ht="38.25" x14ac:dyDescent="0.2">
      <c r="A169" s="178"/>
      <c r="B169" s="180"/>
      <c r="C169" s="280">
        <v>565</v>
      </c>
      <c r="D169" s="281" t="s">
        <v>278</v>
      </c>
      <c r="E169" s="259">
        <v>255318</v>
      </c>
      <c r="F169" s="259"/>
      <c r="G169" s="259"/>
      <c r="H169" s="260">
        <v>-254189</v>
      </c>
      <c r="I169" s="259"/>
      <c r="J169" s="259"/>
      <c r="K169" s="259"/>
      <c r="L169" s="259"/>
      <c r="M169" s="259"/>
      <c r="N169" s="259"/>
      <c r="O169" s="259"/>
      <c r="P169" s="259"/>
      <c r="Q169" s="259"/>
      <c r="R169" s="259"/>
      <c r="S169" s="259"/>
      <c r="T169" s="259"/>
      <c r="U169" s="259">
        <v>530</v>
      </c>
      <c r="V169" s="259"/>
      <c r="W169" s="259"/>
      <c r="X169" s="259"/>
      <c r="Y169" s="259"/>
      <c r="Z169" s="259"/>
      <c r="AA169" s="259"/>
      <c r="AB169" s="259"/>
      <c r="AC169" s="259"/>
      <c r="AD169" s="310"/>
      <c r="AE169" s="239">
        <f t="shared" si="59"/>
        <v>1659</v>
      </c>
      <c r="AF169" s="240">
        <f t="shared" si="60"/>
        <v>1659</v>
      </c>
      <c r="AG169" s="96"/>
      <c r="AH169" s="5">
        <f t="shared" si="58"/>
        <v>0</v>
      </c>
      <c r="AI169" s="41"/>
      <c r="AJ169" s="302"/>
      <c r="AK169" s="302"/>
      <c r="AL169" s="302">
        <v>0</v>
      </c>
      <c r="AM169" s="302"/>
      <c r="AN169" s="302"/>
      <c r="AO169" s="302"/>
      <c r="AP169" s="302"/>
      <c r="AQ169" s="302"/>
      <c r="AR169" s="302"/>
      <c r="AS169" s="302"/>
      <c r="AT169" s="302"/>
      <c r="AU169" s="303">
        <f>10626+4874</f>
        <v>15500</v>
      </c>
      <c r="AV169" s="254">
        <f t="shared" si="62"/>
        <v>15500</v>
      </c>
      <c r="AW169" s="232">
        <f t="shared" si="61"/>
        <v>0</v>
      </c>
    </row>
    <row r="170" spans="1:50" s="21" customFormat="1" ht="38.25" x14ac:dyDescent="0.2">
      <c r="A170" s="178"/>
      <c r="B170" s="180"/>
      <c r="C170" s="280">
        <v>566</v>
      </c>
      <c r="D170" s="281" t="s">
        <v>279</v>
      </c>
      <c r="E170" s="259">
        <v>305190</v>
      </c>
      <c r="F170" s="259"/>
      <c r="G170" s="259"/>
      <c r="H170" s="260">
        <v>-262205</v>
      </c>
      <c r="I170" s="259"/>
      <c r="J170" s="259"/>
      <c r="K170" s="259"/>
      <c r="L170" s="259"/>
      <c r="M170" s="259"/>
      <c r="N170" s="259"/>
      <c r="O170" s="259"/>
      <c r="P170" s="259"/>
      <c r="Q170" s="259"/>
      <c r="R170" s="259"/>
      <c r="S170" s="259"/>
      <c r="T170" s="259"/>
      <c r="U170" s="259"/>
      <c r="V170" s="259"/>
      <c r="W170" s="259"/>
      <c r="X170" s="259"/>
      <c r="Y170" s="259"/>
      <c r="Z170" s="259"/>
      <c r="AA170" s="259"/>
      <c r="AB170" s="259"/>
      <c r="AC170" s="259"/>
      <c r="AD170" s="310"/>
      <c r="AE170" s="239">
        <f t="shared" si="59"/>
        <v>42985</v>
      </c>
      <c r="AF170" s="240">
        <f t="shared" si="60"/>
        <v>42985</v>
      </c>
      <c r="AG170" s="96"/>
      <c r="AH170" s="5">
        <f t="shared" si="58"/>
        <v>0</v>
      </c>
      <c r="AI170" s="41"/>
      <c r="AJ170" s="302"/>
      <c r="AK170" s="302"/>
      <c r="AL170" s="302"/>
      <c r="AM170" s="302"/>
      <c r="AN170" s="302"/>
      <c r="AO170" s="302"/>
      <c r="AP170" s="302"/>
      <c r="AQ170" s="302"/>
      <c r="AR170" s="302"/>
      <c r="AS170" s="302"/>
      <c r="AT170" s="302"/>
      <c r="AU170" s="303">
        <v>1129</v>
      </c>
      <c r="AV170" s="254">
        <f t="shared" si="62"/>
        <v>1129</v>
      </c>
      <c r="AW170" s="232">
        <f t="shared" si="61"/>
        <v>530</v>
      </c>
    </row>
    <row r="171" spans="1:50" s="21" customFormat="1" ht="51" x14ac:dyDescent="0.2">
      <c r="A171" s="178"/>
      <c r="B171" s="180"/>
      <c r="C171" s="280">
        <v>567</v>
      </c>
      <c r="D171" s="281" t="s">
        <v>280</v>
      </c>
      <c r="E171" s="259">
        <v>710911</v>
      </c>
      <c r="F171" s="259"/>
      <c r="G171" s="259"/>
      <c r="H171" s="260">
        <v>-337711</v>
      </c>
      <c r="I171" s="259"/>
      <c r="J171" s="259"/>
      <c r="K171" s="259"/>
      <c r="L171" s="259"/>
      <c r="M171" s="259"/>
      <c r="N171" s="259"/>
      <c r="O171" s="259"/>
      <c r="P171" s="259"/>
      <c r="Q171" s="259"/>
      <c r="R171" s="259"/>
      <c r="S171" s="259"/>
      <c r="T171" s="259"/>
      <c r="U171" s="259"/>
      <c r="V171" s="259"/>
      <c r="W171" s="259"/>
      <c r="X171" s="259"/>
      <c r="Y171" s="259"/>
      <c r="Z171" s="259"/>
      <c r="AA171" s="259"/>
      <c r="AB171" s="259"/>
      <c r="AC171" s="259"/>
      <c r="AD171" s="310"/>
      <c r="AE171" s="239">
        <f t="shared" si="59"/>
        <v>373200</v>
      </c>
      <c r="AF171" s="240">
        <f t="shared" si="60"/>
        <v>373200</v>
      </c>
      <c r="AG171" s="96"/>
      <c r="AH171" s="5">
        <f t="shared" si="58"/>
        <v>0</v>
      </c>
      <c r="AI171" s="41"/>
      <c r="AJ171" s="302">
        <v>2078</v>
      </c>
      <c r="AK171" s="302"/>
      <c r="AL171" s="302">
        <v>2400</v>
      </c>
      <c r="AM171" s="302"/>
      <c r="AN171" s="302"/>
      <c r="AO171" s="302"/>
      <c r="AP171" s="302"/>
      <c r="AQ171" s="302"/>
      <c r="AR171" s="302"/>
      <c r="AS171" s="302"/>
      <c r="AT171" s="302"/>
      <c r="AU171" s="303">
        <f>40907-2400</f>
        <v>38507</v>
      </c>
      <c r="AV171" s="254">
        <f t="shared" si="62"/>
        <v>42985</v>
      </c>
      <c r="AW171" s="232">
        <f t="shared" si="61"/>
        <v>0</v>
      </c>
    </row>
    <row r="172" spans="1:50" s="21" customFormat="1" ht="38.25" x14ac:dyDescent="0.2">
      <c r="A172" s="178"/>
      <c r="B172" s="180" t="s">
        <v>142</v>
      </c>
      <c r="C172" s="280">
        <v>568</v>
      </c>
      <c r="D172" s="281" t="s">
        <v>281</v>
      </c>
      <c r="E172" s="259"/>
      <c r="F172" s="259"/>
      <c r="G172" s="259"/>
      <c r="H172" s="260"/>
      <c r="I172" s="259">
        <v>163737</v>
      </c>
      <c r="J172" s="259"/>
      <c r="K172" s="259"/>
      <c r="L172" s="259"/>
      <c r="M172" s="259"/>
      <c r="N172" s="259"/>
      <c r="O172" s="259"/>
      <c r="P172" s="259"/>
      <c r="Q172" s="259"/>
      <c r="R172" s="259"/>
      <c r="S172" s="259"/>
      <c r="T172" s="259"/>
      <c r="U172" s="259"/>
      <c r="V172" s="259"/>
      <c r="W172" s="259"/>
      <c r="X172" s="259"/>
      <c r="Y172" s="259"/>
      <c r="Z172" s="259"/>
      <c r="AA172" s="259"/>
      <c r="AB172" s="259"/>
      <c r="AC172" s="259"/>
      <c r="AD172" s="310"/>
      <c r="AE172" s="239">
        <f t="shared" si="59"/>
        <v>163737</v>
      </c>
      <c r="AF172" s="240">
        <f t="shared" si="60"/>
        <v>163737</v>
      </c>
      <c r="AG172" s="96"/>
      <c r="AH172" s="5">
        <f t="shared" si="58"/>
        <v>0</v>
      </c>
      <c r="AI172" s="41"/>
      <c r="AJ172" s="302"/>
      <c r="AK172" s="302"/>
      <c r="AL172" s="302"/>
      <c r="AM172" s="302"/>
      <c r="AN172" s="302"/>
      <c r="AO172" s="302"/>
      <c r="AP172" s="302"/>
      <c r="AQ172" s="302">
        <v>350000</v>
      </c>
      <c r="AR172" s="302"/>
      <c r="AS172" s="302">
        <v>23200</v>
      </c>
      <c r="AT172" s="302"/>
      <c r="AU172" s="308"/>
      <c r="AV172" s="254">
        <f t="shared" si="62"/>
        <v>373200</v>
      </c>
      <c r="AW172" s="232">
        <f t="shared" si="61"/>
        <v>0</v>
      </c>
    </row>
    <row r="173" spans="1:50" s="21" customFormat="1" ht="38.25" x14ac:dyDescent="0.2">
      <c r="A173" s="178"/>
      <c r="B173" s="180" t="s">
        <v>142</v>
      </c>
      <c r="C173" s="280">
        <v>569</v>
      </c>
      <c r="D173" s="281" t="s">
        <v>282</v>
      </c>
      <c r="E173" s="259"/>
      <c r="F173" s="259"/>
      <c r="G173" s="259"/>
      <c r="H173" s="260"/>
      <c r="I173" s="259">
        <v>123000</v>
      </c>
      <c r="J173" s="259"/>
      <c r="K173" s="259"/>
      <c r="L173" s="259"/>
      <c r="M173" s="259"/>
      <c r="N173" s="259"/>
      <c r="O173" s="259"/>
      <c r="P173" s="259"/>
      <c r="Q173" s="259"/>
      <c r="R173" s="259"/>
      <c r="S173" s="259"/>
      <c r="T173" s="259"/>
      <c r="U173" s="259"/>
      <c r="V173" s="259"/>
      <c r="W173" s="259"/>
      <c r="X173" s="259"/>
      <c r="Y173" s="259"/>
      <c r="Z173" s="259"/>
      <c r="AA173" s="259"/>
      <c r="AB173" s="259"/>
      <c r="AC173" s="259"/>
      <c r="AD173" s="310"/>
      <c r="AE173" s="239">
        <f t="shared" si="59"/>
        <v>123000</v>
      </c>
      <c r="AF173" s="240">
        <f t="shared" si="60"/>
        <v>123000</v>
      </c>
      <c r="AG173" s="96"/>
      <c r="AH173" s="5">
        <f t="shared" si="58"/>
        <v>0</v>
      </c>
      <c r="AI173" s="41"/>
      <c r="AJ173" s="302"/>
      <c r="AK173" s="302"/>
      <c r="AL173" s="302">
        <v>1200</v>
      </c>
      <c r="AM173" s="302"/>
      <c r="AN173" s="302"/>
      <c r="AO173" s="302"/>
      <c r="AP173" s="302"/>
      <c r="AQ173" s="302"/>
      <c r="AR173" s="302"/>
      <c r="AS173" s="302"/>
      <c r="AT173" s="302"/>
      <c r="AU173" s="308">
        <f>163737-1200</f>
        <v>162537</v>
      </c>
      <c r="AV173" s="254">
        <f t="shared" si="62"/>
        <v>163737</v>
      </c>
      <c r="AW173" s="232">
        <f t="shared" si="61"/>
        <v>0</v>
      </c>
    </row>
    <row r="174" spans="1:50" s="21" customFormat="1" ht="38.25" x14ac:dyDescent="0.2">
      <c r="A174" s="178"/>
      <c r="B174" s="180" t="s">
        <v>142</v>
      </c>
      <c r="C174" s="280">
        <v>570</v>
      </c>
      <c r="D174" s="281" t="s">
        <v>283</v>
      </c>
      <c r="E174" s="259"/>
      <c r="F174" s="259"/>
      <c r="G174" s="259"/>
      <c r="H174" s="260"/>
      <c r="I174" s="259">
        <v>91127</v>
      </c>
      <c r="J174" s="259"/>
      <c r="K174" s="259"/>
      <c r="L174" s="259"/>
      <c r="M174" s="259"/>
      <c r="N174" s="259"/>
      <c r="O174" s="259"/>
      <c r="P174" s="259"/>
      <c r="Q174" s="259"/>
      <c r="R174" s="259"/>
      <c r="S174" s="259"/>
      <c r="T174" s="259"/>
      <c r="U174" s="259"/>
      <c r="V174" s="259"/>
      <c r="W174" s="259"/>
      <c r="X174" s="259"/>
      <c r="Y174" s="259"/>
      <c r="Z174" s="259"/>
      <c r="AA174" s="259"/>
      <c r="AB174" s="259"/>
      <c r="AC174" s="259"/>
      <c r="AD174" s="310"/>
      <c r="AE174" s="239">
        <f t="shared" si="59"/>
        <v>91127</v>
      </c>
      <c r="AF174" s="240">
        <f t="shared" si="60"/>
        <v>91127</v>
      </c>
      <c r="AG174" s="96"/>
      <c r="AH174" s="5">
        <f t="shared" si="58"/>
        <v>0</v>
      </c>
      <c r="AI174" s="41"/>
      <c r="AJ174" s="302"/>
      <c r="AK174" s="302"/>
      <c r="AL174" s="302">
        <v>1200</v>
      </c>
      <c r="AM174" s="302"/>
      <c r="AN174" s="302"/>
      <c r="AO174" s="302"/>
      <c r="AP174" s="302"/>
      <c r="AQ174" s="302"/>
      <c r="AR174" s="302"/>
      <c r="AS174" s="302"/>
      <c r="AT174" s="302"/>
      <c r="AU174" s="308">
        <f>123000-1200</f>
        <v>121800</v>
      </c>
      <c r="AV174" s="254">
        <f t="shared" si="62"/>
        <v>123000</v>
      </c>
      <c r="AW174" s="232">
        <f t="shared" si="61"/>
        <v>0</v>
      </c>
    </row>
    <row r="175" spans="1:50" s="21" customFormat="1" ht="38.25" x14ac:dyDescent="0.2">
      <c r="A175" s="178"/>
      <c r="B175" s="180"/>
      <c r="C175" s="280">
        <v>571</v>
      </c>
      <c r="D175" s="281" t="s">
        <v>284</v>
      </c>
      <c r="E175" s="259"/>
      <c r="F175" s="259"/>
      <c r="G175" s="259"/>
      <c r="H175" s="260"/>
      <c r="I175" s="259"/>
      <c r="J175" s="259"/>
      <c r="K175" s="259"/>
      <c r="L175" s="259"/>
      <c r="M175" s="259"/>
      <c r="N175" s="259"/>
      <c r="O175" s="259"/>
      <c r="P175" s="259"/>
      <c r="Q175" s="259"/>
      <c r="R175" s="259"/>
      <c r="S175" s="259"/>
      <c r="T175" s="259"/>
      <c r="U175" s="259"/>
      <c r="V175" s="259"/>
      <c r="W175" s="259"/>
      <c r="X175" s="259"/>
      <c r="Y175" s="259"/>
      <c r="Z175" s="259"/>
      <c r="AA175" s="259"/>
      <c r="AB175" s="259"/>
      <c r="AC175" s="259"/>
      <c r="AD175" s="310"/>
      <c r="AE175" s="239">
        <f t="shared" si="59"/>
        <v>0</v>
      </c>
      <c r="AF175" s="240">
        <f t="shared" si="60"/>
        <v>0</v>
      </c>
      <c r="AG175" s="96"/>
      <c r="AH175" s="5">
        <f t="shared" si="58"/>
        <v>0</v>
      </c>
      <c r="AI175" s="41"/>
      <c r="AJ175" s="302"/>
      <c r="AK175" s="302"/>
      <c r="AL175" s="302">
        <v>6727</v>
      </c>
      <c r="AM175" s="302"/>
      <c r="AN175" s="302"/>
      <c r="AO175" s="302"/>
      <c r="AP175" s="302"/>
      <c r="AQ175" s="302"/>
      <c r="AR175" s="302"/>
      <c r="AS175" s="302"/>
      <c r="AT175" s="302"/>
      <c r="AU175" s="308">
        <f>91127-6727</f>
        <v>84400</v>
      </c>
      <c r="AV175" s="254">
        <f t="shared" si="62"/>
        <v>91127</v>
      </c>
      <c r="AW175" s="232">
        <f t="shared" si="61"/>
        <v>0</v>
      </c>
    </row>
    <row r="176" spans="1:50" s="21" customFormat="1" ht="25.5" x14ac:dyDescent="0.2">
      <c r="A176" s="178"/>
      <c r="B176" s="180"/>
      <c r="C176" s="280">
        <v>572</v>
      </c>
      <c r="D176" s="281" t="s">
        <v>285</v>
      </c>
      <c r="E176" s="259">
        <v>259033</v>
      </c>
      <c r="F176" s="259"/>
      <c r="G176" s="259"/>
      <c r="H176" s="260">
        <v>-259033</v>
      </c>
      <c r="I176" s="259"/>
      <c r="J176" s="259"/>
      <c r="K176" s="259"/>
      <c r="L176" s="259"/>
      <c r="M176" s="259"/>
      <c r="N176" s="259"/>
      <c r="O176" s="259"/>
      <c r="P176" s="259"/>
      <c r="Q176" s="259"/>
      <c r="R176" s="259"/>
      <c r="S176" s="259"/>
      <c r="T176" s="259"/>
      <c r="U176" s="259"/>
      <c r="V176" s="259"/>
      <c r="W176" s="259"/>
      <c r="X176" s="259"/>
      <c r="Y176" s="259"/>
      <c r="Z176" s="259"/>
      <c r="AA176" s="259"/>
      <c r="AB176" s="259"/>
      <c r="AC176" s="259"/>
      <c r="AD176" s="310"/>
      <c r="AE176" s="239">
        <f t="shared" si="59"/>
        <v>0</v>
      </c>
      <c r="AF176" s="240">
        <f t="shared" si="60"/>
        <v>0</v>
      </c>
      <c r="AG176" s="96"/>
      <c r="AH176" s="5">
        <f t="shared" si="58"/>
        <v>0</v>
      </c>
      <c r="AI176" s="41"/>
      <c r="AJ176" s="302"/>
      <c r="AK176" s="302"/>
      <c r="AL176" s="302"/>
      <c r="AM176" s="302"/>
      <c r="AN176" s="302"/>
      <c r="AO176" s="302"/>
      <c r="AP176" s="302"/>
      <c r="AQ176" s="302"/>
      <c r="AR176" s="302"/>
      <c r="AS176" s="302"/>
      <c r="AT176" s="302"/>
      <c r="AU176" s="308"/>
      <c r="AV176" s="254">
        <f t="shared" si="62"/>
        <v>0</v>
      </c>
      <c r="AW176" s="232">
        <f t="shared" si="61"/>
        <v>0</v>
      </c>
    </row>
    <row r="177" spans="1:50" s="21" customFormat="1" ht="25.5" x14ac:dyDescent="0.2">
      <c r="A177" s="178"/>
      <c r="B177" s="180"/>
      <c r="C177" s="280">
        <v>573</v>
      </c>
      <c r="D177" s="281" t="s">
        <v>286</v>
      </c>
      <c r="E177" s="259">
        <v>81800</v>
      </c>
      <c r="F177" s="259"/>
      <c r="G177" s="259"/>
      <c r="H177" s="260">
        <v>9021</v>
      </c>
      <c r="I177" s="259"/>
      <c r="J177" s="259"/>
      <c r="K177" s="259"/>
      <c r="L177" s="259"/>
      <c r="M177" s="259"/>
      <c r="N177" s="259"/>
      <c r="O177" s="259"/>
      <c r="P177" s="259"/>
      <c r="Q177" s="259"/>
      <c r="R177" s="259"/>
      <c r="S177" s="259"/>
      <c r="T177" s="259"/>
      <c r="U177" s="259"/>
      <c r="V177" s="259"/>
      <c r="W177" s="259"/>
      <c r="X177" s="259"/>
      <c r="Y177" s="259"/>
      <c r="Z177" s="259"/>
      <c r="AA177" s="259"/>
      <c r="AB177" s="259"/>
      <c r="AC177" s="259"/>
      <c r="AD177" s="310"/>
      <c r="AE177" s="239">
        <f t="shared" si="59"/>
        <v>90821</v>
      </c>
      <c r="AF177" s="240">
        <f t="shared" si="60"/>
        <v>90821</v>
      </c>
      <c r="AG177" s="96"/>
      <c r="AH177" s="5">
        <f t="shared" si="58"/>
        <v>0</v>
      </c>
      <c r="AI177" s="41"/>
      <c r="AJ177" s="302"/>
      <c r="AK177" s="302"/>
      <c r="AL177" s="302"/>
      <c r="AM177" s="302"/>
      <c r="AN177" s="302"/>
      <c r="AO177" s="302"/>
      <c r="AP177" s="302"/>
      <c r="AQ177" s="302"/>
      <c r="AR177" s="302"/>
      <c r="AS177" s="302"/>
      <c r="AT177" s="302"/>
      <c r="AU177" s="308"/>
      <c r="AV177" s="254">
        <f t="shared" si="62"/>
        <v>0</v>
      </c>
      <c r="AW177" s="232">
        <f t="shared" si="61"/>
        <v>0</v>
      </c>
    </row>
    <row r="178" spans="1:50" s="21" customFormat="1" ht="38.25" x14ac:dyDescent="0.2">
      <c r="A178" s="178"/>
      <c r="B178" s="180"/>
      <c r="C178" s="280">
        <v>574</v>
      </c>
      <c r="D178" s="281" t="s">
        <v>287</v>
      </c>
      <c r="E178" s="259">
        <v>13906</v>
      </c>
      <c r="F178" s="259"/>
      <c r="G178" s="259"/>
      <c r="H178" s="260">
        <v>33788</v>
      </c>
      <c r="I178" s="259"/>
      <c r="J178" s="259"/>
      <c r="K178" s="259"/>
      <c r="L178" s="259"/>
      <c r="M178" s="259"/>
      <c r="N178" s="259"/>
      <c r="O178" s="259"/>
      <c r="P178" s="259"/>
      <c r="Q178" s="259"/>
      <c r="R178" s="259"/>
      <c r="S178" s="259"/>
      <c r="T178" s="259"/>
      <c r="U178" s="259"/>
      <c r="V178" s="259"/>
      <c r="W178" s="259"/>
      <c r="X178" s="259"/>
      <c r="Y178" s="259"/>
      <c r="Z178" s="259"/>
      <c r="AA178" s="259"/>
      <c r="AB178" s="259"/>
      <c r="AC178" s="259"/>
      <c r="AD178" s="310"/>
      <c r="AE178" s="239">
        <f t="shared" si="59"/>
        <v>47694</v>
      </c>
      <c r="AF178" s="240">
        <f t="shared" si="60"/>
        <v>47694</v>
      </c>
      <c r="AG178" s="96"/>
      <c r="AH178" s="5">
        <f t="shared" si="58"/>
        <v>0</v>
      </c>
      <c r="AI178" s="41"/>
      <c r="AJ178" s="302">
        <v>822</v>
      </c>
      <c r="AK178" s="302">
        <v>3400</v>
      </c>
      <c r="AL178" s="302">
        <v>3400</v>
      </c>
      <c r="AM178" s="302"/>
      <c r="AN178" s="302">
        <v>50000</v>
      </c>
      <c r="AO178" s="302"/>
      <c r="AP178" s="302"/>
      <c r="AQ178" s="302">
        <v>31800</v>
      </c>
      <c r="AR178" s="302"/>
      <c r="AS178" s="302"/>
      <c r="AT178" s="302"/>
      <c r="AU178" s="308">
        <f>4799-3400</f>
        <v>1399</v>
      </c>
      <c r="AV178" s="254">
        <f t="shared" si="62"/>
        <v>90821</v>
      </c>
      <c r="AW178" s="232">
        <f t="shared" si="61"/>
        <v>0</v>
      </c>
    </row>
    <row r="179" spans="1:50" s="21" customFormat="1" ht="25.5" x14ac:dyDescent="0.2">
      <c r="A179" s="178"/>
      <c r="B179" s="180"/>
      <c r="C179" s="280">
        <v>575</v>
      </c>
      <c r="D179" s="281" t="s">
        <v>288</v>
      </c>
      <c r="E179" s="259">
        <v>1022500</v>
      </c>
      <c r="F179" s="259"/>
      <c r="G179" s="259"/>
      <c r="H179" s="260">
        <v>-600000</v>
      </c>
      <c r="I179" s="259"/>
      <c r="J179" s="259"/>
      <c r="K179" s="259"/>
      <c r="L179" s="259"/>
      <c r="M179" s="259"/>
      <c r="N179" s="259"/>
      <c r="O179" s="259"/>
      <c r="P179" s="259"/>
      <c r="Q179" s="259"/>
      <c r="R179" s="259"/>
      <c r="S179" s="259"/>
      <c r="T179" s="259"/>
      <c r="U179" s="259">
        <v>327500</v>
      </c>
      <c r="V179" s="259"/>
      <c r="W179" s="259"/>
      <c r="X179" s="259"/>
      <c r="Y179" s="259"/>
      <c r="Z179" s="259"/>
      <c r="AA179" s="259"/>
      <c r="AB179" s="259"/>
      <c r="AC179" s="259"/>
      <c r="AD179" s="310"/>
      <c r="AE179" s="239">
        <f t="shared" si="59"/>
        <v>750000</v>
      </c>
      <c r="AF179" s="240">
        <f t="shared" si="60"/>
        <v>750000</v>
      </c>
      <c r="AG179" s="96"/>
      <c r="AH179" s="5">
        <f t="shared" si="58"/>
        <v>0</v>
      </c>
      <c r="AI179" s="41"/>
      <c r="AJ179" s="302">
        <v>4240</v>
      </c>
      <c r="AK179" s="302"/>
      <c r="AL179" s="302">
        <v>3400</v>
      </c>
      <c r="AM179" s="302">
        <v>13906</v>
      </c>
      <c r="AN179" s="302"/>
      <c r="AO179" s="302"/>
      <c r="AP179" s="302"/>
      <c r="AQ179" s="302"/>
      <c r="AR179" s="302"/>
      <c r="AS179" s="302"/>
      <c r="AT179" s="302"/>
      <c r="AU179" s="308">
        <f>29548-3400</f>
        <v>26148</v>
      </c>
      <c r="AV179" s="254">
        <f t="shared" si="62"/>
        <v>47694</v>
      </c>
      <c r="AW179" s="232">
        <f t="shared" si="61"/>
        <v>0</v>
      </c>
    </row>
    <row r="180" spans="1:50" s="21" customFormat="1" ht="38.25" x14ac:dyDescent="0.2">
      <c r="A180" s="178"/>
      <c r="B180" s="180"/>
      <c r="C180" s="280">
        <v>576</v>
      </c>
      <c r="D180" s="281" t="s">
        <v>289</v>
      </c>
      <c r="E180" s="259">
        <v>65624</v>
      </c>
      <c r="F180" s="259"/>
      <c r="G180" s="259"/>
      <c r="H180" s="260">
        <v>140000</v>
      </c>
      <c r="I180" s="259"/>
      <c r="J180" s="259"/>
      <c r="K180" s="259"/>
      <c r="L180" s="259"/>
      <c r="M180" s="259"/>
      <c r="N180" s="259">
        <v>205624</v>
      </c>
      <c r="O180" s="259"/>
      <c r="P180" s="259"/>
      <c r="Q180" s="259"/>
      <c r="R180" s="259"/>
      <c r="S180" s="259"/>
      <c r="T180" s="259"/>
      <c r="U180" s="259">
        <v>-236248</v>
      </c>
      <c r="V180" s="259"/>
      <c r="W180" s="259"/>
      <c r="X180" s="259"/>
      <c r="Y180" s="259"/>
      <c r="Z180" s="259"/>
      <c r="AA180" s="259"/>
      <c r="AB180" s="259"/>
      <c r="AC180" s="259"/>
      <c r="AD180" s="310"/>
      <c r="AE180" s="239">
        <f t="shared" si="59"/>
        <v>175000</v>
      </c>
      <c r="AF180" s="240">
        <f t="shared" si="60"/>
        <v>175000</v>
      </c>
      <c r="AG180" s="96"/>
      <c r="AH180" s="5">
        <f t="shared" si="58"/>
        <v>0</v>
      </c>
      <c r="AI180" s="41"/>
      <c r="AJ180" s="302"/>
      <c r="AK180" s="302"/>
      <c r="AL180" s="302"/>
      <c r="AM180" s="302"/>
      <c r="AN180" s="302"/>
      <c r="AO180" s="302"/>
      <c r="AP180" s="302"/>
      <c r="AQ180" s="302"/>
      <c r="AR180" s="302"/>
      <c r="AS180" s="302"/>
      <c r="AT180" s="302"/>
      <c r="AU180" s="308"/>
      <c r="AV180" s="254"/>
      <c r="AW180" s="232"/>
      <c r="AX180" s="255"/>
    </row>
    <row r="181" spans="1:50" s="21" customFormat="1" ht="38.25" x14ac:dyDescent="0.2">
      <c r="A181" s="178"/>
      <c r="B181" s="180"/>
      <c r="C181" s="280">
        <v>577</v>
      </c>
      <c r="D181" s="281" t="s">
        <v>290</v>
      </c>
      <c r="E181" s="259"/>
      <c r="F181" s="259"/>
      <c r="G181" s="259"/>
      <c r="H181" s="260">
        <v>1261960</v>
      </c>
      <c r="I181" s="259"/>
      <c r="J181" s="259"/>
      <c r="K181" s="259"/>
      <c r="L181" s="259"/>
      <c r="M181" s="259"/>
      <c r="N181" s="259"/>
      <c r="O181" s="259"/>
      <c r="P181" s="259"/>
      <c r="Q181" s="259"/>
      <c r="R181" s="259"/>
      <c r="S181" s="259"/>
      <c r="T181" s="259"/>
      <c r="U181" s="259"/>
      <c r="V181" s="259"/>
      <c r="W181" s="259"/>
      <c r="X181" s="259"/>
      <c r="Y181" s="259"/>
      <c r="Z181" s="259"/>
      <c r="AA181" s="259"/>
      <c r="AB181" s="259"/>
      <c r="AC181" s="259"/>
      <c r="AD181" s="310"/>
      <c r="AE181" s="239">
        <f t="shared" si="59"/>
        <v>1261960</v>
      </c>
      <c r="AF181" s="240">
        <f t="shared" si="60"/>
        <v>1261960</v>
      </c>
      <c r="AG181" s="96"/>
      <c r="AH181" s="5">
        <f t="shared" si="58"/>
        <v>0</v>
      </c>
      <c r="AI181" s="41"/>
      <c r="AJ181" s="302"/>
      <c r="AK181" s="302"/>
      <c r="AL181" s="302"/>
      <c r="AM181" s="302"/>
      <c r="AN181" s="302"/>
      <c r="AO181" s="302"/>
      <c r="AP181" s="302"/>
      <c r="AQ181" s="302"/>
      <c r="AR181" s="302"/>
      <c r="AS181" s="302"/>
      <c r="AT181" s="302"/>
      <c r="AU181" s="308"/>
      <c r="AV181" s="254"/>
      <c r="AW181" s="232"/>
      <c r="AX181" s="255"/>
    </row>
    <row r="182" spans="1:50" s="21" customFormat="1" ht="25.5" x14ac:dyDescent="0.2">
      <c r="A182" s="178"/>
      <c r="B182" s="180"/>
      <c r="C182" s="280">
        <v>578</v>
      </c>
      <c r="D182" s="281" t="s">
        <v>291</v>
      </c>
      <c r="E182" s="259"/>
      <c r="F182" s="259"/>
      <c r="G182" s="259"/>
      <c r="H182" s="260">
        <v>277600</v>
      </c>
      <c r="I182" s="259"/>
      <c r="J182" s="259"/>
      <c r="K182" s="259"/>
      <c r="L182" s="259"/>
      <c r="M182" s="259"/>
      <c r="N182" s="259"/>
      <c r="O182" s="259"/>
      <c r="P182" s="259"/>
      <c r="Q182" s="259"/>
      <c r="R182" s="259"/>
      <c r="S182" s="259"/>
      <c r="T182" s="259"/>
      <c r="U182" s="259"/>
      <c r="V182" s="259"/>
      <c r="W182" s="259"/>
      <c r="X182" s="259"/>
      <c r="Y182" s="259"/>
      <c r="Z182" s="259"/>
      <c r="AA182" s="259"/>
      <c r="AB182" s="259"/>
      <c r="AC182" s="259"/>
      <c r="AD182" s="310"/>
      <c r="AE182" s="239">
        <f t="shared" si="59"/>
        <v>277600</v>
      </c>
      <c r="AF182" s="240">
        <f t="shared" si="60"/>
        <v>277600</v>
      </c>
      <c r="AG182" s="96"/>
      <c r="AH182" s="5">
        <f t="shared" si="58"/>
        <v>0</v>
      </c>
      <c r="AI182" s="41"/>
      <c r="AJ182" s="302"/>
      <c r="AK182" s="302"/>
      <c r="AL182" s="302"/>
      <c r="AM182" s="302"/>
      <c r="AN182" s="302"/>
      <c r="AO182" s="302"/>
      <c r="AP182" s="302"/>
      <c r="AQ182" s="302"/>
      <c r="AR182" s="302"/>
      <c r="AS182" s="302"/>
      <c r="AT182" s="302"/>
      <c r="AU182" s="308"/>
      <c r="AV182" s="254"/>
      <c r="AW182" s="232"/>
    </row>
    <row r="183" spans="1:50" s="21" customFormat="1" ht="38.25" x14ac:dyDescent="0.2">
      <c r="A183" s="178"/>
      <c r="B183" s="180"/>
      <c r="C183" s="280">
        <v>579</v>
      </c>
      <c r="D183" s="281" t="s">
        <v>292</v>
      </c>
      <c r="E183" s="259"/>
      <c r="F183" s="259"/>
      <c r="G183" s="259"/>
      <c r="H183" s="260">
        <v>136000</v>
      </c>
      <c r="I183" s="259"/>
      <c r="J183" s="259"/>
      <c r="K183" s="259"/>
      <c r="L183" s="259"/>
      <c r="M183" s="259"/>
      <c r="N183" s="259"/>
      <c r="O183" s="259"/>
      <c r="P183" s="259"/>
      <c r="Q183" s="259"/>
      <c r="R183" s="259"/>
      <c r="S183" s="259"/>
      <c r="T183" s="259"/>
      <c r="U183" s="259"/>
      <c r="V183" s="259"/>
      <c r="W183" s="259"/>
      <c r="X183" s="259"/>
      <c r="Y183" s="259"/>
      <c r="Z183" s="259"/>
      <c r="AA183" s="259"/>
      <c r="AB183" s="259"/>
      <c r="AC183" s="259"/>
      <c r="AD183" s="310"/>
      <c r="AE183" s="239">
        <f t="shared" si="59"/>
        <v>136000</v>
      </c>
      <c r="AF183" s="240">
        <f t="shared" si="60"/>
        <v>136000</v>
      </c>
      <c r="AG183" s="96"/>
      <c r="AH183" s="5">
        <f t="shared" si="58"/>
        <v>0</v>
      </c>
      <c r="AI183" s="41"/>
      <c r="AJ183" s="302"/>
      <c r="AK183" s="302"/>
      <c r="AL183" s="302"/>
      <c r="AM183" s="302"/>
      <c r="AN183" s="302"/>
      <c r="AO183" s="302"/>
      <c r="AP183" s="302"/>
      <c r="AQ183" s="302"/>
      <c r="AR183" s="302"/>
      <c r="AS183" s="302"/>
      <c r="AT183" s="302"/>
      <c r="AU183" s="308">
        <v>277600</v>
      </c>
      <c r="AV183" s="254">
        <f t="shared" ref="AV183:AV191" si="63">SUM(AJ183:AU183)</f>
        <v>277600</v>
      </c>
      <c r="AW183" s="232">
        <f t="shared" ref="AW183:AW191" si="64">+AF182-AV183</f>
        <v>0</v>
      </c>
    </row>
    <row r="184" spans="1:50" s="21" customFormat="1" ht="25.5" x14ac:dyDescent="0.2">
      <c r="A184" s="178"/>
      <c r="B184" s="180"/>
      <c r="C184" s="280">
        <v>580</v>
      </c>
      <c r="D184" s="281" t="s">
        <v>293</v>
      </c>
      <c r="E184" s="259"/>
      <c r="F184" s="259"/>
      <c r="G184" s="259"/>
      <c r="H184" s="260">
        <v>354202</v>
      </c>
      <c r="I184" s="259"/>
      <c r="J184" s="259"/>
      <c r="K184" s="259"/>
      <c r="L184" s="259"/>
      <c r="M184" s="259"/>
      <c r="N184" s="259">
        <f>1966+136000</f>
        <v>137966</v>
      </c>
      <c r="O184" s="259"/>
      <c r="P184" s="259"/>
      <c r="Q184" s="259"/>
      <c r="R184" s="259"/>
      <c r="S184" s="259"/>
      <c r="T184" s="259"/>
      <c r="U184" s="259"/>
      <c r="V184" s="259"/>
      <c r="W184" s="259"/>
      <c r="X184" s="259"/>
      <c r="Y184" s="259"/>
      <c r="Z184" s="259"/>
      <c r="AA184" s="259"/>
      <c r="AB184" s="259"/>
      <c r="AC184" s="259"/>
      <c r="AD184" s="310"/>
      <c r="AE184" s="239">
        <f t="shared" si="59"/>
        <v>492168</v>
      </c>
      <c r="AF184" s="240">
        <f t="shared" si="60"/>
        <v>492168</v>
      </c>
      <c r="AG184" s="96"/>
      <c r="AH184" s="5">
        <f t="shared" ref="AH184:AH207" si="65">+AA184+V184</f>
        <v>0</v>
      </c>
      <c r="AI184" s="41"/>
      <c r="AJ184" s="302"/>
      <c r="AK184" s="302"/>
      <c r="AL184" s="302"/>
      <c r="AM184" s="302"/>
      <c r="AN184" s="302"/>
      <c r="AO184" s="302"/>
      <c r="AP184" s="302"/>
      <c r="AQ184" s="302"/>
      <c r="AR184" s="302"/>
      <c r="AS184" s="302"/>
      <c r="AT184" s="302"/>
      <c r="AU184" s="308">
        <v>136000</v>
      </c>
      <c r="AV184" s="254">
        <f t="shared" si="63"/>
        <v>136000</v>
      </c>
      <c r="AW184" s="232">
        <f t="shared" si="64"/>
        <v>0</v>
      </c>
    </row>
    <row r="185" spans="1:50" s="21" customFormat="1" ht="25.5" x14ac:dyDescent="0.2">
      <c r="A185" s="178"/>
      <c r="B185" s="180"/>
      <c r="C185" s="280">
        <v>581</v>
      </c>
      <c r="D185" s="281" t="s">
        <v>294</v>
      </c>
      <c r="E185" s="259"/>
      <c r="F185" s="259"/>
      <c r="G185" s="259"/>
      <c r="H185" s="260">
        <v>142651</v>
      </c>
      <c r="I185" s="259"/>
      <c r="J185" s="259"/>
      <c r="K185" s="259"/>
      <c r="L185" s="259"/>
      <c r="M185" s="259"/>
      <c r="N185" s="259"/>
      <c r="O185" s="259"/>
      <c r="P185" s="259"/>
      <c r="Q185" s="259"/>
      <c r="R185" s="259"/>
      <c r="S185" s="259"/>
      <c r="T185" s="259"/>
      <c r="U185" s="259"/>
      <c r="V185" s="259"/>
      <c r="W185" s="259"/>
      <c r="X185" s="259"/>
      <c r="Y185" s="259"/>
      <c r="Z185" s="259"/>
      <c r="AA185" s="259"/>
      <c r="AB185" s="259"/>
      <c r="AC185" s="259"/>
      <c r="AD185" s="310"/>
      <c r="AE185" s="239">
        <f t="shared" si="59"/>
        <v>142651</v>
      </c>
      <c r="AF185" s="240">
        <f t="shared" si="60"/>
        <v>142651</v>
      </c>
      <c r="AG185" s="96"/>
      <c r="AH185" s="5">
        <f t="shared" si="65"/>
        <v>0</v>
      </c>
      <c r="AI185" s="41"/>
      <c r="AJ185" s="302"/>
      <c r="AK185" s="302"/>
      <c r="AL185" s="302"/>
      <c r="AM185" s="302"/>
      <c r="AN185" s="302"/>
      <c r="AO185" s="302"/>
      <c r="AP185" s="302"/>
      <c r="AQ185" s="302"/>
      <c r="AR185" s="302"/>
      <c r="AS185" s="302"/>
      <c r="AT185" s="302"/>
      <c r="AU185" s="308">
        <v>354202</v>
      </c>
      <c r="AV185" s="254">
        <f t="shared" si="63"/>
        <v>354202</v>
      </c>
      <c r="AW185" s="232">
        <f t="shared" si="64"/>
        <v>137966</v>
      </c>
    </row>
    <row r="186" spans="1:50" s="21" customFormat="1" ht="38.25" x14ac:dyDescent="0.2">
      <c r="A186" s="178"/>
      <c r="B186" s="180" t="s">
        <v>142</v>
      </c>
      <c r="C186" s="280">
        <v>582</v>
      </c>
      <c r="D186" s="281" t="s">
        <v>295</v>
      </c>
      <c r="E186" s="259"/>
      <c r="F186" s="259"/>
      <c r="G186" s="259"/>
      <c r="H186" s="260"/>
      <c r="I186" s="259">
        <v>80000</v>
      </c>
      <c r="J186" s="259"/>
      <c r="K186" s="259"/>
      <c r="L186" s="259"/>
      <c r="M186" s="259"/>
      <c r="N186" s="259"/>
      <c r="O186" s="259"/>
      <c r="P186" s="259"/>
      <c r="Q186" s="259"/>
      <c r="R186" s="259"/>
      <c r="S186" s="259"/>
      <c r="T186" s="259"/>
      <c r="U186" s="259"/>
      <c r="V186" s="259"/>
      <c r="W186" s="259"/>
      <c r="X186" s="259"/>
      <c r="Y186" s="259"/>
      <c r="Z186" s="259"/>
      <c r="AA186" s="259"/>
      <c r="AB186" s="259"/>
      <c r="AC186" s="259"/>
      <c r="AD186" s="310"/>
      <c r="AE186" s="239">
        <f t="shared" si="59"/>
        <v>80000</v>
      </c>
      <c r="AF186" s="240">
        <f t="shared" si="60"/>
        <v>80000</v>
      </c>
      <c r="AG186" s="96"/>
      <c r="AH186" s="5">
        <f t="shared" si="65"/>
        <v>0</v>
      </c>
      <c r="AI186" s="41"/>
      <c r="AJ186" s="302"/>
      <c r="AK186" s="302"/>
      <c r="AL186" s="302">
        <v>1400</v>
      </c>
      <c r="AM186" s="302"/>
      <c r="AN186" s="302"/>
      <c r="AO186" s="302"/>
      <c r="AP186" s="302"/>
      <c r="AQ186" s="302"/>
      <c r="AR186" s="302"/>
      <c r="AS186" s="302"/>
      <c r="AT186" s="302"/>
      <c r="AU186" s="308">
        <f>142651-1400</f>
        <v>141251</v>
      </c>
      <c r="AV186" s="254">
        <f t="shared" si="63"/>
        <v>142651</v>
      </c>
      <c r="AW186" s="232">
        <f t="shared" si="64"/>
        <v>0</v>
      </c>
    </row>
    <row r="187" spans="1:50" s="21" customFormat="1" ht="38.25" x14ac:dyDescent="0.2">
      <c r="A187" s="178"/>
      <c r="B187" s="180" t="s">
        <v>142</v>
      </c>
      <c r="C187" s="280">
        <v>583</v>
      </c>
      <c r="D187" s="281" t="s">
        <v>296</v>
      </c>
      <c r="E187" s="259"/>
      <c r="F187" s="259"/>
      <c r="G187" s="259"/>
      <c r="H187" s="260"/>
      <c r="I187" s="259">
        <v>52600</v>
      </c>
      <c r="J187" s="259"/>
      <c r="K187" s="259"/>
      <c r="L187" s="259"/>
      <c r="M187" s="259"/>
      <c r="N187" s="259"/>
      <c r="O187" s="259"/>
      <c r="P187" s="259"/>
      <c r="Q187" s="259"/>
      <c r="R187" s="259"/>
      <c r="S187" s="259"/>
      <c r="T187" s="259"/>
      <c r="U187" s="259"/>
      <c r="V187" s="259"/>
      <c r="W187" s="259"/>
      <c r="X187" s="259"/>
      <c r="Y187" s="259"/>
      <c r="Z187" s="259"/>
      <c r="AA187" s="259"/>
      <c r="AB187" s="259"/>
      <c r="AC187" s="259"/>
      <c r="AD187" s="310"/>
      <c r="AE187" s="239">
        <f t="shared" si="59"/>
        <v>52600</v>
      </c>
      <c r="AF187" s="240">
        <f t="shared" si="60"/>
        <v>52600</v>
      </c>
      <c r="AG187" s="96"/>
      <c r="AH187" s="5">
        <f t="shared" si="65"/>
        <v>0</v>
      </c>
      <c r="AI187" s="41"/>
      <c r="AJ187" s="302"/>
      <c r="AK187" s="302"/>
      <c r="AL187" s="302"/>
      <c r="AM187" s="302"/>
      <c r="AN187" s="302"/>
      <c r="AO187" s="302"/>
      <c r="AP187" s="302"/>
      <c r="AQ187" s="302"/>
      <c r="AR187" s="302"/>
      <c r="AS187" s="302"/>
      <c r="AT187" s="302"/>
      <c r="AU187" s="308">
        <v>80000</v>
      </c>
      <c r="AV187" s="254">
        <f t="shared" si="63"/>
        <v>80000</v>
      </c>
      <c r="AW187" s="232">
        <f t="shared" si="64"/>
        <v>0</v>
      </c>
    </row>
    <row r="188" spans="1:50" s="21" customFormat="1" ht="38.25" x14ac:dyDescent="0.2">
      <c r="A188" s="178"/>
      <c r="B188" s="180" t="s">
        <v>142</v>
      </c>
      <c r="C188" s="280">
        <v>584</v>
      </c>
      <c r="D188" s="281" t="s">
        <v>297</v>
      </c>
      <c r="E188" s="259"/>
      <c r="F188" s="259"/>
      <c r="G188" s="259"/>
      <c r="H188" s="260"/>
      <c r="I188" s="259">
        <v>35000</v>
      </c>
      <c r="J188" s="259"/>
      <c r="K188" s="259"/>
      <c r="L188" s="259"/>
      <c r="M188" s="259"/>
      <c r="N188" s="259"/>
      <c r="O188" s="259"/>
      <c r="P188" s="259"/>
      <c r="Q188" s="259"/>
      <c r="R188" s="259"/>
      <c r="S188" s="259"/>
      <c r="T188" s="259"/>
      <c r="U188" s="259"/>
      <c r="V188" s="259"/>
      <c r="W188" s="259"/>
      <c r="X188" s="259"/>
      <c r="Y188" s="259"/>
      <c r="Z188" s="259"/>
      <c r="AA188" s="259"/>
      <c r="AB188" s="259"/>
      <c r="AC188" s="259"/>
      <c r="AD188" s="310"/>
      <c r="AE188" s="239">
        <f t="shared" si="59"/>
        <v>35000</v>
      </c>
      <c r="AF188" s="240">
        <f t="shared" si="60"/>
        <v>35000</v>
      </c>
      <c r="AG188" s="96"/>
      <c r="AH188" s="5">
        <f t="shared" si="65"/>
        <v>0</v>
      </c>
      <c r="AI188" s="41"/>
      <c r="AJ188" s="302"/>
      <c r="AK188" s="302"/>
      <c r="AL188" s="302"/>
      <c r="AM188" s="302"/>
      <c r="AN188" s="302"/>
      <c r="AO188" s="302"/>
      <c r="AP188" s="302"/>
      <c r="AQ188" s="302"/>
      <c r="AR188" s="302"/>
      <c r="AS188" s="302"/>
      <c r="AT188" s="302"/>
      <c r="AU188" s="308">
        <v>52600</v>
      </c>
      <c r="AV188" s="254">
        <f t="shared" si="63"/>
        <v>52600</v>
      </c>
      <c r="AW188" s="232">
        <f t="shared" si="64"/>
        <v>0</v>
      </c>
    </row>
    <row r="189" spans="1:50" s="21" customFormat="1" ht="38.25" x14ac:dyDescent="0.2">
      <c r="A189" s="178"/>
      <c r="B189" s="180" t="s">
        <v>142</v>
      </c>
      <c r="C189" s="280">
        <v>585</v>
      </c>
      <c r="D189" s="281" t="s">
        <v>298</v>
      </c>
      <c r="E189" s="259"/>
      <c r="F189" s="259"/>
      <c r="G189" s="259"/>
      <c r="H189" s="260"/>
      <c r="I189" s="259">
        <v>70802</v>
      </c>
      <c r="J189" s="259"/>
      <c r="K189" s="259"/>
      <c r="L189" s="259"/>
      <c r="M189" s="259"/>
      <c r="N189" s="259"/>
      <c r="O189" s="259"/>
      <c r="P189" s="259"/>
      <c r="Q189" s="259"/>
      <c r="R189" s="259"/>
      <c r="S189" s="259"/>
      <c r="T189" s="259"/>
      <c r="U189" s="259"/>
      <c r="V189" s="259"/>
      <c r="W189" s="259"/>
      <c r="X189" s="259"/>
      <c r="Y189" s="259"/>
      <c r="Z189" s="259"/>
      <c r="AA189" s="259"/>
      <c r="AB189" s="259"/>
      <c r="AC189" s="259"/>
      <c r="AD189" s="310"/>
      <c r="AE189" s="239">
        <f t="shared" si="59"/>
        <v>70802</v>
      </c>
      <c r="AF189" s="240">
        <f t="shared" si="60"/>
        <v>70802</v>
      </c>
      <c r="AG189" s="96"/>
      <c r="AH189" s="5">
        <f t="shared" si="65"/>
        <v>0</v>
      </c>
      <c r="AI189" s="41"/>
      <c r="AJ189" s="302"/>
      <c r="AK189" s="302"/>
      <c r="AL189" s="302"/>
      <c r="AM189" s="302"/>
      <c r="AN189" s="302"/>
      <c r="AO189" s="302"/>
      <c r="AP189" s="302"/>
      <c r="AQ189" s="302"/>
      <c r="AR189" s="302"/>
      <c r="AS189" s="302"/>
      <c r="AT189" s="302"/>
      <c r="AU189" s="308">
        <v>35000</v>
      </c>
      <c r="AV189" s="254">
        <f t="shared" si="63"/>
        <v>35000</v>
      </c>
      <c r="AW189" s="232">
        <f t="shared" si="64"/>
        <v>0</v>
      </c>
    </row>
    <row r="190" spans="1:50" s="21" customFormat="1" ht="25.5" x14ac:dyDescent="0.2">
      <c r="A190" s="178"/>
      <c r="B190" s="180" t="s">
        <v>142</v>
      </c>
      <c r="C190" s="280">
        <v>586</v>
      </c>
      <c r="D190" s="281" t="s">
        <v>299</v>
      </c>
      <c r="E190" s="259"/>
      <c r="F190" s="259"/>
      <c r="G190" s="259"/>
      <c r="H190" s="260"/>
      <c r="I190" s="259">
        <v>80000</v>
      </c>
      <c r="J190" s="259"/>
      <c r="K190" s="259"/>
      <c r="L190" s="259"/>
      <c r="M190" s="259"/>
      <c r="N190" s="259"/>
      <c r="O190" s="259"/>
      <c r="P190" s="259"/>
      <c r="Q190" s="259"/>
      <c r="R190" s="259"/>
      <c r="S190" s="259"/>
      <c r="T190" s="259"/>
      <c r="U190" s="259"/>
      <c r="V190" s="259"/>
      <c r="W190" s="259"/>
      <c r="X190" s="259"/>
      <c r="Y190" s="259"/>
      <c r="Z190" s="259"/>
      <c r="AA190" s="259"/>
      <c r="AB190" s="259"/>
      <c r="AC190" s="259"/>
      <c r="AD190" s="310"/>
      <c r="AE190" s="239">
        <f t="shared" si="59"/>
        <v>80000</v>
      </c>
      <c r="AF190" s="240">
        <f t="shared" si="60"/>
        <v>80000</v>
      </c>
      <c r="AG190" s="96"/>
      <c r="AH190" s="5">
        <f t="shared" si="65"/>
        <v>0</v>
      </c>
      <c r="AI190" s="41"/>
      <c r="AJ190" s="302"/>
      <c r="AK190" s="302"/>
      <c r="AL190" s="302"/>
      <c r="AM190" s="302"/>
      <c r="AN190" s="302"/>
      <c r="AO190" s="302"/>
      <c r="AP190" s="302"/>
      <c r="AQ190" s="302"/>
      <c r="AR190" s="302"/>
      <c r="AS190" s="302"/>
      <c r="AT190" s="302"/>
      <c r="AU190" s="308">
        <v>70802</v>
      </c>
      <c r="AV190" s="254">
        <f t="shared" si="63"/>
        <v>70802</v>
      </c>
      <c r="AW190" s="232">
        <f t="shared" si="64"/>
        <v>0</v>
      </c>
    </row>
    <row r="191" spans="1:50" s="21" customFormat="1" ht="25.5" x14ac:dyDescent="0.2">
      <c r="A191" s="178"/>
      <c r="B191" s="180"/>
      <c r="C191" s="280">
        <v>587</v>
      </c>
      <c r="D191" s="281" t="s">
        <v>300</v>
      </c>
      <c r="E191" s="259"/>
      <c r="F191" s="259"/>
      <c r="G191" s="259"/>
      <c r="H191" s="260"/>
      <c r="I191" s="259"/>
      <c r="J191" s="259"/>
      <c r="K191" s="259"/>
      <c r="L191" s="259"/>
      <c r="M191" s="259"/>
      <c r="N191" s="259"/>
      <c r="O191" s="259"/>
      <c r="P191" s="259"/>
      <c r="Q191" s="259">
        <v>820556</v>
      </c>
      <c r="R191" s="259"/>
      <c r="S191" s="259"/>
      <c r="T191" s="259"/>
      <c r="U191" s="259"/>
      <c r="V191" s="259"/>
      <c r="W191" s="259"/>
      <c r="X191" s="259"/>
      <c r="Y191" s="259"/>
      <c r="Z191" s="259"/>
      <c r="AA191" s="259"/>
      <c r="AB191" s="259"/>
      <c r="AC191" s="259"/>
      <c r="AD191" s="310"/>
      <c r="AE191" s="239">
        <f t="shared" si="59"/>
        <v>820556</v>
      </c>
      <c r="AF191" s="240">
        <f t="shared" si="60"/>
        <v>820556</v>
      </c>
      <c r="AG191" s="96"/>
      <c r="AH191" s="5">
        <f t="shared" si="65"/>
        <v>0</v>
      </c>
      <c r="AI191" s="41"/>
      <c r="AJ191" s="302"/>
      <c r="AK191" s="302"/>
      <c r="AL191" s="302"/>
      <c r="AM191" s="302"/>
      <c r="AN191" s="302"/>
      <c r="AO191" s="302"/>
      <c r="AP191" s="302"/>
      <c r="AQ191" s="302"/>
      <c r="AR191" s="302"/>
      <c r="AS191" s="302"/>
      <c r="AT191" s="302"/>
      <c r="AU191" s="308">
        <v>80000</v>
      </c>
      <c r="AV191" s="254">
        <f t="shared" si="63"/>
        <v>80000</v>
      </c>
      <c r="AW191" s="232">
        <f t="shared" si="64"/>
        <v>0</v>
      </c>
    </row>
    <row r="192" spans="1:50" s="21" customFormat="1" ht="38.25" x14ac:dyDescent="0.2">
      <c r="A192" s="178"/>
      <c r="B192" s="180"/>
      <c r="C192" s="280">
        <v>588</v>
      </c>
      <c r="D192" s="281" t="s">
        <v>301</v>
      </c>
      <c r="E192" s="259"/>
      <c r="F192" s="259"/>
      <c r="G192" s="259"/>
      <c r="H192" s="260"/>
      <c r="I192" s="259"/>
      <c r="J192" s="259"/>
      <c r="K192" s="259"/>
      <c r="L192" s="259"/>
      <c r="M192" s="259"/>
      <c r="N192" s="259"/>
      <c r="O192" s="259"/>
      <c r="P192" s="259"/>
      <c r="Q192" s="259">
        <v>61127</v>
      </c>
      <c r="R192" s="259"/>
      <c r="S192" s="259"/>
      <c r="T192" s="259"/>
      <c r="U192" s="259"/>
      <c r="V192" s="259"/>
      <c r="W192" s="259"/>
      <c r="X192" s="259"/>
      <c r="Y192" s="259"/>
      <c r="Z192" s="259"/>
      <c r="AA192" s="259"/>
      <c r="AB192" s="259"/>
      <c r="AC192" s="259"/>
      <c r="AD192" s="310"/>
      <c r="AE192" s="239">
        <f t="shared" si="59"/>
        <v>61127</v>
      </c>
      <c r="AF192" s="240">
        <f t="shared" si="60"/>
        <v>61127</v>
      </c>
      <c r="AG192" s="96"/>
      <c r="AH192" s="5">
        <f t="shared" si="65"/>
        <v>0</v>
      </c>
      <c r="AI192" s="41"/>
      <c r="AJ192" s="302"/>
      <c r="AK192" s="302"/>
      <c r="AL192" s="302"/>
      <c r="AM192" s="302"/>
      <c r="AN192" s="302"/>
      <c r="AO192" s="302"/>
      <c r="AP192" s="302"/>
      <c r="AQ192" s="302"/>
      <c r="AR192" s="302"/>
      <c r="AS192" s="302"/>
      <c r="AT192" s="302"/>
      <c r="AU192" s="308"/>
      <c r="AV192" s="254"/>
      <c r="AW192" s="232"/>
    </row>
    <row r="193" spans="1:50" s="21" customFormat="1" ht="38.25" x14ac:dyDescent="0.2">
      <c r="A193" s="178"/>
      <c r="B193" s="180"/>
      <c r="C193" s="280">
        <v>589</v>
      </c>
      <c r="D193" s="281" t="s">
        <v>302</v>
      </c>
      <c r="E193" s="259"/>
      <c r="F193" s="259"/>
      <c r="G193" s="259"/>
      <c r="H193" s="260"/>
      <c r="I193" s="259"/>
      <c r="J193" s="259"/>
      <c r="K193" s="259"/>
      <c r="L193" s="259"/>
      <c r="M193" s="259"/>
      <c r="N193" s="259"/>
      <c r="O193" s="259"/>
      <c r="P193" s="259"/>
      <c r="Q193" s="259">
        <v>111800</v>
      </c>
      <c r="R193" s="259"/>
      <c r="S193" s="259"/>
      <c r="T193" s="259"/>
      <c r="U193" s="259"/>
      <c r="V193" s="259"/>
      <c r="W193" s="259"/>
      <c r="X193" s="259"/>
      <c r="Y193" s="259"/>
      <c r="Z193" s="259"/>
      <c r="AA193" s="259"/>
      <c r="AB193" s="259"/>
      <c r="AC193" s="259"/>
      <c r="AD193" s="310"/>
      <c r="AE193" s="239">
        <f t="shared" si="59"/>
        <v>111800</v>
      </c>
      <c r="AF193" s="240">
        <f t="shared" si="60"/>
        <v>111800</v>
      </c>
      <c r="AG193" s="96"/>
      <c r="AH193" s="5">
        <f t="shared" si="65"/>
        <v>0</v>
      </c>
      <c r="AI193" s="41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2"/>
      <c r="AT193" s="302"/>
      <c r="AU193" s="308"/>
      <c r="AV193" s="254"/>
      <c r="AW193" s="232"/>
    </row>
    <row r="194" spans="1:50" s="21" customFormat="1" ht="25.5" x14ac:dyDescent="0.2">
      <c r="A194" s="178"/>
      <c r="B194" s="180"/>
      <c r="C194" s="280">
        <v>590</v>
      </c>
      <c r="D194" s="281" t="s">
        <v>303</v>
      </c>
      <c r="E194" s="259"/>
      <c r="F194" s="259"/>
      <c r="G194" s="259"/>
      <c r="H194" s="260"/>
      <c r="I194" s="259"/>
      <c r="J194" s="259"/>
      <c r="K194" s="259"/>
      <c r="L194" s="259"/>
      <c r="M194" s="259"/>
      <c r="N194" s="259"/>
      <c r="O194" s="259"/>
      <c r="P194" s="259"/>
      <c r="Q194" s="259">
        <v>200000</v>
      </c>
      <c r="R194" s="259"/>
      <c r="S194" s="259"/>
      <c r="T194" s="259"/>
      <c r="U194" s="259"/>
      <c r="V194" s="259"/>
      <c r="W194" s="259"/>
      <c r="X194" s="259"/>
      <c r="Y194" s="259"/>
      <c r="Z194" s="259"/>
      <c r="AA194" s="259"/>
      <c r="AB194" s="259"/>
      <c r="AC194" s="259"/>
      <c r="AD194" s="310"/>
      <c r="AE194" s="239">
        <f t="shared" si="59"/>
        <v>200000</v>
      </c>
      <c r="AF194" s="240">
        <f t="shared" si="60"/>
        <v>200000</v>
      </c>
      <c r="AG194" s="96"/>
      <c r="AH194" s="5">
        <f t="shared" si="65"/>
        <v>0</v>
      </c>
      <c r="AI194" s="41"/>
      <c r="AJ194" s="302"/>
      <c r="AK194" s="302"/>
      <c r="AL194" s="302"/>
      <c r="AM194" s="302"/>
      <c r="AN194" s="302"/>
      <c r="AO194" s="302"/>
      <c r="AP194" s="302"/>
      <c r="AQ194" s="302"/>
      <c r="AR194" s="302"/>
      <c r="AS194" s="302"/>
      <c r="AT194" s="302"/>
      <c r="AU194" s="308"/>
      <c r="AV194" s="254"/>
      <c r="AW194" s="232"/>
    </row>
    <row r="195" spans="1:50" s="21" customFormat="1" ht="25.5" x14ac:dyDescent="0.2">
      <c r="A195" s="178"/>
      <c r="B195" s="180"/>
      <c r="C195" s="280">
        <v>591</v>
      </c>
      <c r="D195" s="281" t="s">
        <v>304</v>
      </c>
      <c r="E195" s="259"/>
      <c r="F195" s="259"/>
      <c r="G195" s="259"/>
      <c r="H195" s="260"/>
      <c r="I195" s="259"/>
      <c r="J195" s="259"/>
      <c r="K195" s="259"/>
      <c r="L195" s="259"/>
      <c r="M195" s="259"/>
      <c r="N195" s="259"/>
      <c r="O195" s="259"/>
      <c r="P195" s="259"/>
      <c r="Q195" s="259">
        <v>50000</v>
      </c>
      <c r="R195" s="259"/>
      <c r="S195" s="259"/>
      <c r="T195" s="259"/>
      <c r="U195" s="259"/>
      <c r="V195" s="259"/>
      <c r="W195" s="259"/>
      <c r="X195" s="259"/>
      <c r="Y195" s="259"/>
      <c r="Z195" s="259"/>
      <c r="AA195" s="259"/>
      <c r="AB195" s="259"/>
      <c r="AC195" s="259"/>
      <c r="AD195" s="310"/>
      <c r="AE195" s="239">
        <f t="shared" si="59"/>
        <v>50000</v>
      </c>
      <c r="AF195" s="240">
        <f t="shared" si="60"/>
        <v>50000</v>
      </c>
      <c r="AG195" s="96"/>
      <c r="AH195" s="5">
        <f t="shared" si="65"/>
        <v>0</v>
      </c>
      <c r="AI195" s="41"/>
      <c r="AJ195" s="302"/>
      <c r="AK195" s="302"/>
      <c r="AL195" s="302"/>
      <c r="AM195" s="302"/>
      <c r="AN195" s="302"/>
      <c r="AO195" s="302"/>
      <c r="AP195" s="302"/>
      <c r="AQ195" s="302"/>
      <c r="AR195" s="302"/>
      <c r="AS195" s="302"/>
      <c r="AT195" s="302"/>
      <c r="AU195" s="308"/>
      <c r="AV195" s="254"/>
      <c r="AW195" s="232"/>
    </row>
    <row r="196" spans="1:50" s="21" customFormat="1" ht="38.25" x14ac:dyDescent="0.2">
      <c r="A196" s="178"/>
      <c r="B196" s="180"/>
      <c r="C196" s="280">
        <v>592</v>
      </c>
      <c r="D196" s="281" t="s">
        <v>305</v>
      </c>
      <c r="E196" s="259"/>
      <c r="F196" s="259"/>
      <c r="G196" s="259"/>
      <c r="H196" s="260"/>
      <c r="I196" s="259"/>
      <c r="J196" s="259"/>
      <c r="K196" s="259"/>
      <c r="L196" s="259"/>
      <c r="M196" s="259"/>
      <c r="N196" s="259"/>
      <c r="O196" s="259"/>
      <c r="P196" s="259"/>
      <c r="Q196" s="259"/>
      <c r="R196" s="259"/>
      <c r="S196" s="259"/>
      <c r="T196" s="259"/>
      <c r="U196" s="259"/>
      <c r="V196" s="259">
        <v>994726</v>
      </c>
      <c r="W196" s="259"/>
      <c r="X196" s="259"/>
      <c r="Y196" s="259"/>
      <c r="Z196" s="259"/>
      <c r="AA196" s="259"/>
      <c r="AB196" s="259"/>
      <c r="AC196" s="259"/>
      <c r="AD196" s="310"/>
      <c r="AE196" s="239">
        <f t="shared" si="59"/>
        <v>0</v>
      </c>
      <c r="AF196" s="240">
        <f t="shared" si="60"/>
        <v>994726</v>
      </c>
      <c r="AG196" s="96"/>
      <c r="AH196" s="5">
        <f t="shared" si="65"/>
        <v>994726</v>
      </c>
      <c r="AI196" s="41"/>
      <c r="AJ196" s="302"/>
      <c r="AK196" s="302"/>
      <c r="AL196" s="302"/>
      <c r="AM196" s="302"/>
      <c r="AN196" s="302"/>
      <c r="AO196" s="302"/>
      <c r="AP196" s="302"/>
      <c r="AQ196" s="302"/>
      <c r="AR196" s="302"/>
      <c r="AS196" s="302"/>
      <c r="AT196" s="302"/>
      <c r="AU196" s="308"/>
      <c r="AV196" s="254"/>
      <c r="AW196" s="232"/>
    </row>
    <row r="197" spans="1:50" s="21" customFormat="1" ht="38.25" x14ac:dyDescent="0.2">
      <c r="A197" s="178"/>
      <c r="B197" s="180"/>
      <c r="C197" s="280">
        <v>593</v>
      </c>
      <c r="D197" s="281" t="s">
        <v>306</v>
      </c>
      <c r="E197" s="259"/>
      <c r="F197" s="259"/>
      <c r="G197" s="259"/>
      <c r="H197" s="260"/>
      <c r="I197" s="259"/>
      <c r="J197" s="259"/>
      <c r="K197" s="259"/>
      <c r="L197" s="259"/>
      <c r="M197" s="259"/>
      <c r="N197" s="259"/>
      <c r="O197" s="259"/>
      <c r="P197" s="259"/>
      <c r="Q197" s="259"/>
      <c r="R197" s="259"/>
      <c r="S197" s="259"/>
      <c r="T197" s="259"/>
      <c r="U197" s="259"/>
      <c r="V197" s="259">
        <v>10800</v>
      </c>
      <c r="W197" s="259"/>
      <c r="X197" s="259"/>
      <c r="Y197" s="259"/>
      <c r="Z197" s="259"/>
      <c r="AA197" s="259"/>
      <c r="AB197" s="259"/>
      <c r="AC197" s="259"/>
      <c r="AD197" s="310"/>
      <c r="AE197" s="239">
        <f t="shared" si="59"/>
        <v>0</v>
      </c>
      <c r="AF197" s="240">
        <f t="shared" si="60"/>
        <v>10800</v>
      </c>
      <c r="AG197" s="96"/>
      <c r="AH197" s="5">
        <f t="shared" si="65"/>
        <v>10800</v>
      </c>
      <c r="AI197" s="41"/>
      <c r="AJ197" s="302"/>
      <c r="AK197" s="302"/>
      <c r="AL197" s="302"/>
      <c r="AM197" s="302"/>
      <c r="AN197" s="302"/>
      <c r="AO197" s="302"/>
      <c r="AP197" s="302"/>
      <c r="AQ197" s="302"/>
      <c r="AR197" s="302"/>
      <c r="AS197" s="302"/>
      <c r="AT197" s="302"/>
      <c r="AU197" s="308"/>
      <c r="AV197" s="254"/>
      <c r="AW197" s="232"/>
    </row>
    <row r="198" spans="1:50" s="21" customFormat="1" ht="38.25" x14ac:dyDescent="0.2">
      <c r="A198" s="178"/>
      <c r="B198" s="180"/>
      <c r="C198" s="280">
        <v>594</v>
      </c>
      <c r="D198" s="281" t="s">
        <v>307</v>
      </c>
      <c r="E198" s="259"/>
      <c r="F198" s="259"/>
      <c r="G198" s="259"/>
      <c r="H198" s="260"/>
      <c r="I198" s="259"/>
      <c r="J198" s="259"/>
      <c r="K198" s="259"/>
      <c r="L198" s="259"/>
      <c r="M198" s="259"/>
      <c r="N198" s="259"/>
      <c r="O198" s="259"/>
      <c r="P198" s="259"/>
      <c r="Q198" s="259"/>
      <c r="R198" s="259"/>
      <c r="S198" s="259"/>
      <c r="T198" s="259"/>
      <c r="U198" s="259"/>
      <c r="V198" s="259">
        <v>10000</v>
      </c>
      <c r="W198" s="259"/>
      <c r="X198" s="259"/>
      <c r="Y198" s="259"/>
      <c r="Z198" s="259"/>
      <c r="AA198" s="259"/>
      <c r="AB198" s="259"/>
      <c r="AC198" s="259"/>
      <c r="AD198" s="310"/>
      <c r="AE198" s="239">
        <f t="shared" si="59"/>
        <v>0</v>
      </c>
      <c r="AF198" s="240">
        <f t="shared" si="60"/>
        <v>10000</v>
      </c>
      <c r="AG198" s="96"/>
      <c r="AH198" s="5">
        <f t="shared" si="65"/>
        <v>10000</v>
      </c>
      <c r="AI198" s="41"/>
      <c r="AJ198" s="302"/>
      <c r="AK198" s="302"/>
      <c r="AL198" s="302"/>
      <c r="AM198" s="302"/>
      <c r="AN198" s="302"/>
      <c r="AO198" s="302"/>
      <c r="AP198" s="302"/>
      <c r="AQ198" s="302"/>
      <c r="AR198" s="302"/>
      <c r="AS198" s="302"/>
      <c r="AT198" s="302"/>
      <c r="AU198" s="308"/>
      <c r="AV198" s="254"/>
      <c r="AW198" s="232"/>
    </row>
    <row r="199" spans="1:50" s="21" customFormat="1" ht="31.5" customHeight="1" x14ac:dyDescent="0.2">
      <c r="A199" s="178"/>
      <c r="B199" s="180"/>
      <c r="C199" s="280">
        <v>595</v>
      </c>
      <c r="D199" s="281" t="s">
        <v>308</v>
      </c>
      <c r="E199" s="259"/>
      <c r="F199" s="259"/>
      <c r="G199" s="259"/>
      <c r="H199" s="260"/>
      <c r="I199" s="259"/>
      <c r="J199" s="259"/>
      <c r="K199" s="259"/>
      <c r="L199" s="259"/>
      <c r="M199" s="259"/>
      <c r="N199" s="259"/>
      <c r="O199" s="259"/>
      <c r="P199" s="259"/>
      <c r="Q199" s="259"/>
      <c r="R199" s="259"/>
      <c r="S199" s="259"/>
      <c r="T199" s="259"/>
      <c r="U199" s="259"/>
      <c r="V199" s="259">
        <v>350000</v>
      </c>
      <c r="W199" s="259"/>
      <c r="X199" s="259"/>
      <c r="Y199" s="259"/>
      <c r="Z199" s="259"/>
      <c r="AA199" s="259"/>
      <c r="AB199" s="259"/>
      <c r="AC199" s="259"/>
      <c r="AD199" s="310"/>
      <c r="AE199" s="239">
        <f t="shared" si="59"/>
        <v>0</v>
      </c>
      <c r="AF199" s="240">
        <f t="shared" si="60"/>
        <v>350000</v>
      </c>
      <c r="AG199" s="96"/>
      <c r="AH199" s="5">
        <f t="shared" si="65"/>
        <v>350000</v>
      </c>
      <c r="AI199" s="41"/>
      <c r="AJ199" s="302"/>
      <c r="AK199" s="302"/>
      <c r="AL199" s="302"/>
      <c r="AM199" s="302"/>
      <c r="AN199" s="302"/>
      <c r="AO199" s="302"/>
      <c r="AP199" s="302"/>
      <c r="AQ199" s="302"/>
      <c r="AR199" s="302"/>
      <c r="AS199" s="302"/>
      <c r="AT199" s="302"/>
      <c r="AU199" s="308"/>
      <c r="AV199" s="254"/>
      <c r="AW199" s="232"/>
    </row>
    <row r="200" spans="1:50" s="21" customFormat="1" ht="30" customHeight="1" x14ac:dyDescent="0.2">
      <c r="A200" s="178"/>
      <c r="B200" s="180"/>
      <c r="C200" s="280">
        <v>596</v>
      </c>
      <c r="D200" s="281" t="s">
        <v>309</v>
      </c>
      <c r="E200" s="259"/>
      <c r="F200" s="259"/>
      <c r="G200" s="259"/>
      <c r="H200" s="260"/>
      <c r="I200" s="259"/>
      <c r="J200" s="259"/>
      <c r="K200" s="259"/>
      <c r="L200" s="259"/>
      <c r="M200" s="259"/>
      <c r="N200" s="259"/>
      <c r="O200" s="259"/>
      <c r="P200" s="259"/>
      <c r="Q200" s="259"/>
      <c r="R200" s="259"/>
      <c r="S200" s="259"/>
      <c r="T200" s="259"/>
      <c r="U200" s="259"/>
      <c r="V200" s="259">
        <v>1000750</v>
      </c>
      <c r="W200" s="259"/>
      <c r="X200" s="259"/>
      <c r="Y200" s="259"/>
      <c r="Z200" s="259"/>
      <c r="AA200" s="259"/>
      <c r="AB200" s="259"/>
      <c r="AC200" s="259"/>
      <c r="AD200" s="310"/>
      <c r="AE200" s="239">
        <f t="shared" si="59"/>
        <v>0</v>
      </c>
      <c r="AF200" s="240">
        <f t="shared" si="60"/>
        <v>1000750</v>
      </c>
      <c r="AG200" s="96"/>
      <c r="AH200" s="5">
        <f t="shared" si="65"/>
        <v>1000750</v>
      </c>
      <c r="AI200" s="41"/>
      <c r="AJ200" s="302"/>
      <c r="AK200" s="302"/>
      <c r="AL200" s="302"/>
      <c r="AM200" s="302"/>
      <c r="AN200" s="302"/>
      <c r="AO200" s="302"/>
      <c r="AP200" s="302"/>
      <c r="AQ200" s="302"/>
      <c r="AR200" s="302"/>
      <c r="AS200" s="302"/>
      <c r="AT200" s="302"/>
      <c r="AU200" s="308"/>
      <c r="AV200" s="254"/>
      <c r="AW200" s="232"/>
    </row>
    <row r="201" spans="1:50" s="21" customFormat="1" ht="39.75" customHeight="1" x14ac:dyDescent="0.2">
      <c r="A201" s="178"/>
      <c r="B201" s="180"/>
      <c r="C201" s="280">
        <v>597</v>
      </c>
      <c r="D201" s="281" t="s">
        <v>310</v>
      </c>
      <c r="E201" s="259"/>
      <c r="F201" s="259"/>
      <c r="G201" s="259"/>
      <c r="H201" s="260"/>
      <c r="I201" s="259"/>
      <c r="J201" s="259"/>
      <c r="K201" s="259"/>
      <c r="L201" s="259"/>
      <c r="M201" s="259"/>
      <c r="N201" s="259"/>
      <c r="O201" s="259"/>
      <c r="P201" s="259"/>
      <c r="Q201" s="259"/>
      <c r="R201" s="259"/>
      <c r="S201" s="259"/>
      <c r="T201" s="259"/>
      <c r="U201" s="259"/>
      <c r="V201" s="259"/>
      <c r="W201" s="259"/>
      <c r="X201" s="259"/>
      <c r="Y201" s="259"/>
      <c r="Z201" s="259"/>
      <c r="AA201" s="259">
        <v>300000</v>
      </c>
      <c r="AB201" s="259"/>
      <c r="AC201" s="259"/>
      <c r="AD201" s="310"/>
      <c r="AE201" s="239">
        <f t="shared" si="59"/>
        <v>0</v>
      </c>
      <c r="AF201" s="240">
        <f t="shared" si="60"/>
        <v>300000</v>
      </c>
      <c r="AG201" s="96"/>
      <c r="AH201" s="5">
        <f t="shared" si="65"/>
        <v>300000</v>
      </c>
      <c r="AI201" s="41"/>
      <c r="AJ201" s="302"/>
      <c r="AK201" s="302"/>
      <c r="AL201" s="302"/>
      <c r="AM201" s="302"/>
      <c r="AN201" s="302"/>
      <c r="AO201" s="302"/>
      <c r="AP201" s="302"/>
      <c r="AQ201" s="302"/>
      <c r="AR201" s="302"/>
      <c r="AS201" s="302"/>
      <c r="AT201" s="302"/>
      <c r="AU201" s="308"/>
      <c r="AV201" s="254"/>
      <c r="AW201" s="232"/>
    </row>
    <row r="202" spans="1:50" s="21" customFormat="1" x14ac:dyDescent="0.2">
      <c r="A202" s="178"/>
      <c r="B202" s="180"/>
      <c r="C202" s="280" t="s">
        <v>311</v>
      </c>
      <c r="D202" s="281" t="s">
        <v>312</v>
      </c>
      <c r="E202" s="259">
        <v>1678396</v>
      </c>
      <c r="F202" s="259"/>
      <c r="G202" s="259"/>
      <c r="H202" s="260"/>
      <c r="I202" s="259">
        <v>-1015944</v>
      </c>
      <c r="J202" s="259"/>
      <c r="K202" s="259"/>
      <c r="L202" s="259"/>
      <c r="M202" s="259"/>
      <c r="N202" s="259"/>
      <c r="O202" s="259"/>
      <c r="P202" s="259"/>
      <c r="Q202" s="259"/>
      <c r="R202" s="259"/>
      <c r="S202" s="259"/>
      <c r="T202" s="259"/>
      <c r="U202" s="259"/>
      <c r="V202" s="259"/>
      <c r="W202" s="259"/>
      <c r="X202" s="259"/>
      <c r="Y202" s="259"/>
      <c r="Z202" s="259"/>
      <c r="AA202" s="259"/>
      <c r="AB202" s="259"/>
      <c r="AC202" s="259"/>
      <c r="AD202" s="310"/>
      <c r="AE202" s="239">
        <f t="shared" si="59"/>
        <v>662452</v>
      </c>
      <c r="AF202" s="240">
        <f t="shared" si="60"/>
        <v>662452</v>
      </c>
      <c r="AG202" s="96"/>
      <c r="AH202" s="5">
        <f t="shared" si="65"/>
        <v>0</v>
      </c>
      <c r="AI202" s="41"/>
      <c r="AJ202" s="302"/>
      <c r="AK202" s="302"/>
      <c r="AL202" s="302"/>
      <c r="AM202" s="302"/>
      <c r="AN202" s="302"/>
      <c r="AO202" s="302"/>
      <c r="AP202" s="302"/>
      <c r="AQ202" s="302"/>
      <c r="AR202" s="302"/>
      <c r="AS202" s="302"/>
      <c r="AT202" s="302"/>
      <c r="AU202" s="308"/>
      <c r="AV202" s="254"/>
      <c r="AW202" s="232"/>
    </row>
    <row r="203" spans="1:50" s="152" customFormat="1" x14ac:dyDescent="0.2">
      <c r="A203" s="153" t="s">
        <v>313</v>
      </c>
      <c r="B203" s="153"/>
      <c r="C203" s="261"/>
      <c r="D203" s="262" t="s">
        <v>314</v>
      </c>
      <c r="E203" s="288">
        <f t="shared" ref="E203:AD203" si="66">E204</f>
        <v>0</v>
      </c>
      <c r="F203" s="288">
        <f t="shared" si="66"/>
        <v>0</v>
      </c>
      <c r="G203" s="288">
        <f t="shared" si="66"/>
        <v>0</v>
      </c>
      <c r="H203" s="289">
        <f t="shared" si="66"/>
        <v>0</v>
      </c>
      <c r="I203" s="288">
        <f t="shared" si="66"/>
        <v>0</v>
      </c>
      <c r="J203" s="288">
        <f t="shared" si="66"/>
        <v>0</v>
      </c>
      <c r="K203" s="288">
        <f t="shared" si="66"/>
        <v>0</v>
      </c>
      <c r="L203" s="288">
        <f t="shared" si="66"/>
        <v>6905166</v>
      </c>
      <c r="M203" s="288">
        <f t="shared" si="66"/>
        <v>0</v>
      </c>
      <c r="N203" s="288">
        <f t="shared" si="66"/>
        <v>0</v>
      </c>
      <c r="O203" s="288">
        <f t="shared" si="66"/>
        <v>0</v>
      </c>
      <c r="P203" s="288">
        <f t="shared" si="66"/>
        <v>0</v>
      </c>
      <c r="Q203" s="288">
        <f t="shared" si="66"/>
        <v>0</v>
      </c>
      <c r="R203" s="288">
        <f t="shared" si="66"/>
        <v>0</v>
      </c>
      <c r="S203" s="288">
        <f t="shared" si="66"/>
        <v>0</v>
      </c>
      <c r="T203" s="288">
        <f t="shared" si="66"/>
        <v>0</v>
      </c>
      <c r="U203" s="288">
        <f t="shared" si="66"/>
        <v>0</v>
      </c>
      <c r="V203" s="288">
        <f t="shared" si="66"/>
        <v>0</v>
      </c>
      <c r="W203" s="288">
        <f t="shared" si="66"/>
        <v>0</v>
      </c>
      <c r="X203" s="288">
        <f t="shared" si="66"/>
        <v>0</v>
      </c>
      <c r="Y203" s="288">
        <f t="shared" si="66"/>
        <v>0</v>
      </c>
      <c r="Z203" s="288">
        <f t="shared" si="66"/>
        <v>0</v>
      </c>
      <c r="AA203" s="288">
        <f t="shared" si="66"/>
        <v>0</v>
      </c>
      <c r="AB203" s="288">
        <f t="shared" si="66"/>
        <v>0</v>
      </c>
      <c r="AC203" s="288">
        <f t="shared" si="66"/>
        <v>0</v>
      </c>
      <c r="AD203" s="225">
        <f t="shared" si="66"/>
        <v>0</v>
      </c>
      <c r="AE203" s="239">
        <f t="shared" si="59"/>
        <v>6905166</v>
      </c>
      <c r="AF203" s="240">
        <f t="shared" si="60"/>
        <v>6905166</v>
      </c>
      <c r="AG203" s="96"/>
      <c r="AH203" s="5">
        <f t="shared" si="65"/>
        <v>0</v>
      </c>
      <c r="AI203" s="41"/>
      <c r="AJ203" s="302"/>
      <c r="AK203" s="302"/>
      <c r="AL203" s="302"/>
      <c r="AM203" s="302"/>
      <c r="AN203" s="302"/>
      <c r="AO203" s="302"/>
      <c r="AP203" s="302"/>
      <c r="AQ203" s="302"/>
      <c r="AR203" s="302"/>
      <c r="AS203" s="302"/>
      <c r="AT203" s="302"/>
      <c r="AU203" s="308">
        <v>662452</v>
      </c>
      <c r="AV203" s="254">
        <f>SUM(AJ203:AU203)</f>
        <v>662452</v>
      </c>
      <c r="AW203" s="232">
        <f>+AF202-AV203</f>
        <v>0</v>
      </c>
      <c r="AX203" s="21"/>
    </row>
    <row r="204" spans="1:50" x14ac:dyDescent="0.2">
      <c r="A204" s="311"/>
      <c r="B204" s="168" t="s">
        <v>125</v>
      </c>
      <c r="C204" s="280"/>
      <c r="D204" s="281" t="s">
        <v>315</v>
      </c>
      <c r="E204" s="259"/>
      <c r="F204" s="259"/>
      <c r="G204" s="259"/>
      <c r="H204" s="260"/>
      <c r="I204" s="259"/>
      <c r="J204" s="259"/>
      <c r="K204" s="259"/>
      <c r="L204" s="288">
        <v>6905166</v>
      </c>
      <c r="M204" s="259"/>
      <c r="N204" s="259"/>
      <c r="O204" s="259"/>
      <c r="P204" s="259"/>
      <c r="Q204" s="259"/>
      <c r="R204" s="259"/>
      <c r="S204" s="259"/>
      <c r="T204" s="259"/>
      <c r="U204" s="259"/>
      <c r="V204" s="259"/>
      <c r="W204" s="259"/>
      <c r="X204" s="259"/>
      <c r="Y204" s="259"/>
      <c r="Z204" s="259"/>
      <c r="AA204" s="259"/>
      <c r="AB204" s="259"/>
      <c r="AC204" s="259"/>
      <c r="AD204" s="248"/>
      <c r="AE204" s="239">
        <f t="shared" si="59"/>
        <v>6905166</v>
      </c>
      <c r="AF204" s="240">
        <f t="shared" si="60"/>
        <v>6905166</v>
      </c>
      <c r="AG204" s="96"/>
      <c r="AH204" s="5">
        <f t="shared" si="65"/>
        <v>0</v>
      </c>
      <c r="AI204" s="41"/>
      <c r="AJ204" s="157">
        <f t="shared" ref="AJ204:AS204" si="67">AJ205</f>
        <v>0</v>
      </c>
      <c r="AK204" s="157">
        <f t="shared" si="67"/>
        <v>0</v>
      </c>
      <c r="AL204" s="157">
        <f t="shared" si="67"/>
        <v>0</v>
      </c>
      <c r="AM204" s="157">
        <f t="shared" si="67"/>
        <v>0</v>
      </c>
      <c r="AN204" s="157">
        <f t="shared" si="67"/>
        <v>0</v>
      </c>
      <c r="AO204" s="157">
        <f t="shared" si="67"/>
        <v>0</v>
      </c>
      <c r="AP204" s="157">
        <f t="shared" si="67"/>
        <v>0</v>
      </c>
      <c r="AQ204" s="157">
        <f t="shared" si="67"/>
        <v>0</v>
      </c>
      <c r="AR204" s="157">
        <f t="shared" si="67"/>
        <v>0</v>
      </c>
      <c r="AS204" s="157">
        <f t="shared" si="67"/>
        <v>0</v>
      </c>
      <c r="AT204" s="157"/>
      <c r="AU204" s="312">
        <f>AU205</f>
        <v>6905166</v>
      </c>
      <c r="AV204" s="245">
        <f>AV205</f>
        <v>6905166</v>
      </c>
      <c r="AW204" s="232">
        <f>+AF203-AV204</f>
        <v>0</v>
      </c>
      <c r="AX204" s="152"/>
    </row>
    <row r="205" spans="1:50" s="152" customFormat="1" x14ac:dyDescent="0.2">
      <c r="A205" s="313" t="s">
        <v>316</v>
      </c>
      <c r="B205" s="314"/>
      <c r="C205" s="315"/>
      <c r="D205" s="262" t="s">
        <v>317</v>
      </c>
      <c r="E205" s="288">
        <v>0</v>
      </c>
      <c r="F205" s="288"/>
      <c r="G205" s="288"/>
      <c r="H205" s="289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  <c r="X205" s="288"/>
      <c r="Y205" s="288"/>
      <c r="Z205" s="288"/>
      <c r="AA205" s="288"/>
      <c r="AB205" s="288"/>
      <c r="AC205" s="288"/>
      <c r="AD205" s="225"/>
      <c r="AE205" s="239">
        <f t="shared" si="59"/>
        <v>0</v>
      </c>
      <c r="AF205" s="240">
        <f t="shared" si="60"/>
        <v>0</v>
      </c>
      <c r="AG205" s="96"/>
      <c r="AH205" s="5">
        <f t="shared" si="65"/>
        <v>0</v>
      </c>
      <c r="AI205" s="41"/>
      <c r="AJ205" s="170"/>
      <c r="AK205" s="170"/>
      <c r="AL205" s="170"/>
      <c r="AM205" s="170"/>
      <c r="AN205" s="170"/>
      <c r="AO205" s="170"/>
      <c r="AP205" s="170"/>
      <c r="AQ205" s="170"/>
      <c r="AR205" s="170"/>
      <c r="AS205" s="170"/>
      <c r="AT205" s="170"/>
      <c r="AU205" s="181">
        <v>6905166</v>
      </c>
      <c r="AV205" s="254">
        <f>SUM(AJ205:AU205)</f>
        <v>6905166</v>
      </c>
      <c r="AW205" s="232">
        <f>+AF204-AV205</f>
        <v>0</v>
      </c>
      <c r="AX205" s="21"/>
    </row>
    <row r="206" spans="1:50" s="152" customFormat="1" ht="16.5" thickBot="1" x14ac:dyDescent="0.25">
      <c r="A206" s="316"/>
      <c r="B206" s="317"/>
      <c r="C206" s="317"/>
      <c r="D206" s="53"/>
      <c r="E206" s="318">
        <f>+E12-E31</f>
        <v>0</v>
      </c>
      <c r="F206" s="318"/>
      <c r="G206" s="318"/>
      <c r="H206" s="319"/>
      <c r="I206" s="318"/>
      <c r="J206" s="318"/>
      <c r="K206" s="318"/>
      <c r="L206" s="318"/>
      <c r="M206" s="318"/>
      <c r="N206" s="318"/>
      <c r="O206" s="318"/>
      <c r="P206" s="318"/>
      <c r="Q206" s="318"/>
      <c r="R206" s="318"/>
      <c r="S206" s="318"/>
      <c r="T206" s="318"/>
      <c r="U206" s="318"/>
      <c r="V206" s="318"/>
      <c r="W206" s="318"/>
      <c r="X206" s="318"/>
      <c r="Y206" s="318"/>
      <c r="Z206" s="318"/>
      <c r="AA206" s="318"/>
      <c r="AB206" s="318"/>
      <c r="AC206" s="318"/>
      <c r="AD206" s="318"/>
      <c r="AE206" s="239">
        <f t="shared" si="59"/>
        <v>0</v>
      </c>
      <c r="AF206" s="240">
        <f t="shared" si="60"/>
        <v>0</v>
      </c>
      <c r="AG206" s="96"/>
      <c r="AH206" s="5">
        <f t="shared" si="65"/>
        <v>0</v>
      </c>
      <c r="AI206" s="41"/>
      <c r="AJ206" s="320"/>
      <c r="AK206" s="320"/>
      <c r="AL206" s="320"/>
      <c r="AM206" s="320"/>
      <c r="AN206" s="320"/>
      <c r="AO206" s="320"/>
      <c r="AP206" s="320"/>
      <c r="AQ206" s="320"/>
      <c r="AR206" s="320"/>
      <c r="AS206" s="320"/>
      <c r="AT206" s="320"/>
      <c r="AU206" s="321"/>
      <c r="AV206" s="322">
        <f>+AU207</f>
        <v>6527107</v>
      </c>
      <c r="AW206" s="232"/>
    </row>
    <row r="207" spans="1:50" s="152" customFormat="1" x14ac:dyDescent="0.2">
      <c r="A207" s="316"/>
      <c r="B207" s="317"/>
      <c r="C207" s="317"/>
      <c r="D207" s="39" t="s">
        <v>318</v>
      </c>
      <c r="E207" s="323">
        <f>E31-(E57+E204+E205)</f>
        <v>84910755</v>
      </c>
      <c r="F207" s="323"/>
      <c r="G207" s="323">
        <f t="shared" ref="G207:AD207" si="68">G31-(G57+G204+G205)</f>
        <v>1113028</v>
      </c>
      <c r="H207" s="324">
        <f t="shared" si="68"/>
        <v>0</v>
      </c>
      <c r="I207" s="323">
        <f t="shared" si="68"/>
        <v>0</v>
      </c>
      <c r="J207" s="323">
        <f t="shared" si="68"/>
        <v>600000</v>
      </c>
      <c r="K207" s="323">
        <f t="shared" si="68"/>
        <v>450000</v>
      </c>
      <c r="L207" s="323">
        <f t="shared" si="68"/>
        <v>0</v>
      </c>
      <c r="M207" s="323">
        <f t="shared" si="68"/>
        <v>-2115295</v>
      </c>
      <c r="N207" s="323">
        <f t="shared" si="68"/>
        <v>343590</v>
      </c>
      <c r="O207" s="323">
        <f t="shared" si="68"/>
        <v>-1000000</v>
      </c>
      <c r="P207" s="323">
        <f t="shared" si="68"/>
        <v>0</v>
      </c>
      <c r="Q207" s="323">
        <f t="shared" si="68"/>
        <v>0</v>
      </c>
      <c r="R207" s="323">
        <f t="shared" si="68"/>
        <v>0</v>
      </c>
      <c r="S207" s="323">
        <f t="shared" si="68"/>
        <v>0</v>
      </c>
      <c r="T207" s="323">
        <f t="shared" si="68"/>
        <v>-65000</v>
      </c>
      <c r="U207" s="323">
        <f t="shared" si="68"/>
        <v>-599276</v>
      </c>
      <c r="V207" s="323">
        <f t="shared" si="68"/>
        <v>0</v>
      </c>
      <c r="W207" s="323">
        <f t="shared" si="68"/>
        <v>0</v>
      </c>
      <c r="X207" s="323">
        <f t="shared" si="68"/>
        <v>-976461</v>
      </c>
      <c r="Y207" s="323">
        <f t="shared" si="68"/>
        <v>240279</v>
      </c>
      <c r="Z207" s="323">
        <f t="shared" si="68"/>
        <v>124363</v>
      </c>
      <c r="AA207" s="323">
        <f t="shared" si="68"/>
        <v>0</v>
      </c>
      <c r="AB207" s="323">
        <f t="shared" si="68"/>
        <v>313650</v>
      </c>
      <c r="AC207" s="323">
        <f t="shared" si="68"/>
        <v>1014000</v>
      </c>
      <c r="AD207" s="323">
        <f t="shared" si="68"/>
        <v>0</v>
      </c>
      <c r="AE207" s="239">
        <f t="shared" si="59"/>
        <v>84353633</v>
      </c>
      <c r="AF207" s="240">
        <f>SUM(E207:AD207)</f>
        <v>84353633</v>
      </c>
      <c r="AG207" s="96"/>
      <c r="AH207" s="5">
        <f t="shared" si="65"/>
        <v>0</v>
      </c>
      <c r="AI207" s="41"/>
      <c r="AJ207" s="318">
        <f t="shared" ref="AJ207:AU207" si="69">+AJ12-AJ31</f>
        <v>9184984</v>
      </c>
      <c r="AK207" s="318">
        <f t="shared" si="69"/>
        <v>6193185</v>
      </c>
      <c r="AL207" s="318">
        <f t="shared" si="69"/>
        <v>4817819</v>
      </c>
      <c r="AM207" s="318">
        <f t="shared" si="69"/>
        <v>4817819</v>
      </c>
      <c r="AN207" s="318">
        <f t="shared" si="69"/>
        <v>4817819</v>
      </c>
      <c r="AO207" s="318">
        <f t="shared" si="69"/>
        <v>6013402</v>
      </c>
      <c r="AP207" s="318">
        <f t="shared" si="69"/>
        <v>11922578</v>
      </c>
      <c r="AQ207" s="318">
        <f t="shared" si="69"/>
        <v>11922578</v>
      </c>
      <c r="AR207" s="318">
        <f t="shared" si="69"/>
        <v>11924350</v>
      </c>
      <c r="AS207" s="318">
        <f t="shared" si="69"/>
        <v>11924350</v>
      </c>
      <c r="AT207" s="318">
        <f t="shared" si="69"/>
        <v>11924350</v>
      </c>
      <c r="AU207" s="318">
        <f t="shared" si="69"/>
        <v>6527107</v>
      </c>
      <c r="AV207" s="325"/>
      <c r="AW207" s="165"/>
    </row>
    <row r="208" spans="1:50" x14ac:dyDescent="0.2">
      <c r="AI208" s="41"/>
      <c r="AJ208" s="327"/>
      <c r="AK208" s="327"/>
      <c r="AL208" s="327"/>
      <c r="AM208" s="327"/>
      <c r="AN208" s="327"/>
      <c r="AO208" s="327"/>
      <c r="AP208" s="327"/>
      <c r="AQ208" s="327"/>
      <c r="AR208" s="328"/>
      <c r="AS208" s="328"/>
      <c r="AT208" s="328"/>
      <c r="AU208" s="329"/>
      <c r="AV208" s="87"/>
      <c r="AW208" s="165"/>
      <c r="AX208" s="152"/>
    </row>
    <row r="209" spans="35:48" x14ac:dyDescent="0.2">
      <c r="AI209" s="21"/>
      <c r="AV209" s="255"/>
    </row>
    <row r="210" spans="35:48" x14ac:dyDescent="0.2">
      <c r="AI210" s="21"/>
      <c r="AV210" s="255"/>
    </row>
  </sheetData>
  <mergeCells count="19">
    <mergeCell ref="AV7:AV11"/>
    <mergeCell ref="A9:D9"/>
    <mergeCell ref="A10:D10"/>
    <mergeCell ref="AP7:AP10"/>
    <mergeCell ref="AQ7:AQ10"/>
    <mergeCell ref="AR7:AR10"/>
    <mergeCell ref="AS7:AS10"/>
    <mergeCell ref="AT7:AT10"/>
    <mergeCell ref="AU7:AU10"/>
    <mergeCell ref="AJ6:AU6"/>
    <mergeCell ref="E7:E10"/>
    <mergeCell ref="AE7:AE10"/>
    <mergeCell ref="AF7:AF10"/>
    <mergeCell ref="AJ7:AJ10"/>
    <mergeCell ref="AK7:AK10"/>
    <mergeCell ref="AL7:AL10"/>
    <mergeCell ref="AM7:AM10"/>
    <mergeCell ref="AN7:AN10"/>
    <mergeCell ref="AO7:AO10"/>
  </mergeCells>
  <pageMargins left="0" right="0" top="0" bottom="0" header="0" footer="0"/>
  <pageSetup paperSize="5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MAULE 02</vt:lpstr>
      <vt:lpstr>'MAULE 02'!Área_de_impresión</vt:lpstr>
      <vt:lpstr>'MAULE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ponce</dc:creator>
  <cp:lastModifiedBy>marcela ponce</cp:lastModifiedBy>
  <dcterms:created xsi:type="dcterms:W3CDTF">2021-07-28T15:08:27Z</dcterms:created>
  <dcterms:modified xsi:type="dcterms:W3CDTF">2021-07-28T15:09:18Z</dcterms:modified>
</cp:coreProperties>
</file>